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15210" windowHeight="10910" tabRatio="599"/>
  </bookViews>
  <sheets>
    <sheet name="Тарифы на ТЭ 2015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localSheetId="0">'Тарифы на ТЭ 2015'!$A$1:$AN$179</definedName>
  </definedNames>
  <calcPr calcId="144525"/>
</workbook>
</file>

<file path=xl/calcChain.xml><?xml version="1.0" encoding="utf-8"?>
<calcChain xmlns="http://schemas.openxmlformats.org/spreadsheetml/2006/main">
  <c r="P137" i="8" l="1"/>
  <c r="T137" i="8"/>
  <c r="Y137" i="8"/>
  <c r="Z137" i="8"/>
  <c r="AD137" i="8"/>
  <c r="AN137" i="8"/>
  <c r="P134" i="8"/>
  <c r="R134" i="8"/>
  <c r="T134" i="8"/>
  <c r="Y134" i="8"/>
  <c r="Z134" i="8"/>
  <c r="AD134" i="8"/>
  <c r="AE134" i="8" s="1"/>
  <c r="W92" i="8"/>
  <c r="Y92" i="8" s="1"/>
  <c r="T92" i="8"/>
  <c r="R92" i="8"/>
  <c r="P92" i="8"/>
  <c r="N92" i="8"/>
  <c r="W42" i="8"/>
  <c r="Y42" i="8" s="1"/>
  <c r="U42" i="8"/>
  <c r="V42" i="8" s="1"/>
  <c r="T42" i="8"/>
  <c r="R42" i="8"/>
  <c r="P42" i="8"/>
  <c r="N42" i="8"/>
  <c r="J44" i="8"/>
  <c r="K44" i="8"/>
  <c r="L44" i="8"/>
  <c r="N44" i="8"/>
  <c r="P44" i="8"/>
  <c r="R44" i="8"/>
  <c r="T44" i="8"/>
  <c r="V44" i="8"/>
  <c r="W44" i="8" s="1"/>
  <c r="X44" i="8" s="1"/>
  <c r="AD44" i="8" s="1"/>
  <c r="AN44" i="8"/>
  <c r="X92" i="8"/>
  <c r="Z92" i="8" s="1"/>
  <c r="U92" i="8"/>
  <c r="V92" i="8" s="1"/>
  <c r="P37" i="8"/>
  <c r="P143" i="8"/>
  <c r="Q143" i="8"/>
  <c r="T143" i="8" s="1"/>
  <c r="V143" i="8"/>
  <c r="X143" i="8"/>
  <c r="P144" i="8"/>
  <c r="Q144" i="8"/>
  <c r="Y144" i="8" s="1"/>
  <c r="Y149" i="8" s="1"/>
  <c r="V144" i="8"/>
  <c r="X144" i="8"/>
  <c r="P145" i="8"/>
  <c r="Q145" i="8"/>
  <c r="R145" i="8" s="1"/>
  <c r="V145" i="8"/>
  <c r="X145" i="8"/>
  <c r="P146" i="8"/>
  <c r="Q146" i="8"/>
  <c r="T146" i="8" s="1"/>
  <c r="V146" i="8"/>
  <c r="X146" i="8"/>
  <c r="Z146" i="8"/>
  <c r="R116" i="8"/>
  <c r="T116" i="8"/>
  <c r="V116" i="8"/>
  <c r="X116" i="8"/>
  <c r="Z116" i="8" s="1"/>
  <c r="Y116" i="8"/>
  <c r="T9" i="8"/>
  <c r="N32" i="8"/>
  <c r="P25" i="8"/>
  <c r="P27" i="8"/>
  <c r="P148" i="8"/>
  <c r="P35" i="8"/>
  <c r="P39" i="8"/>
  <c r="P46" i="8"/>
  <c r="P48" i="8"/>
  <c r="P50" i="8"/>
  <c r="P51" i="8"/>
  <c r="P52" i="8"/>
  <c r="P53" i="8"/>
  <c r="P66" i="8"/>
  <c r="P67" i="8"/>
  <c r="P72" i="8"/>
  <c r="P73" i="8"/>
  <c r="P74" i="8"/>
  <c r="P75" i="8"/>
  <c r="P140" i="8"/>
  <c r="P77" i="8"/>
  <c r="P78" i="8"/>
  <c r="P31" i="8"/>
  <c r="P79" i="8"/>
  <c r="P80" i="8"/>
  <c r="P81" i="8"/>
  <c r="P86" i="8"/>
  <c r="P88" i="8"/>
  <c r="P90" i="8"/>
  <c r="P93" i="8"/>
  <c r="P96" i="8"/>
  <c r="P98" i="8"/>
  <c r="P100" i="8"/>
  <c r="P103" i="8"/>
  <c r="P105" i="8"/>
  <c r="P106" i="8"/>
  <c r="P113" i="8"/>
  <c r="P115" i="8"/>
  <c r="P121" i="8"/>
  <c r="P124" i="8"/>
  <c r="P47" i="8"/>
  <c r="P83" i="8"/>
  <c r="P117" i="8"/>
  <c r="P68" i="8"/>
  <c r="P54" i="8"/>
  <c r="P99" i="8"/>
  <c r="P26" i="8"/>
  <c r="P33" i="8"/>
  <c r="P110" i="8"/>
  <c r="P85" i="8"/>
  <c r="P84" i="8"/>
  <c r="P126" i="8"/>
  <c r="P128" i="8"/>
  <c r="P89" i="8"/>
  <c r="P102" i="8"/>
  <c r="P95" i="8"/>
  <c r="P123" i="8"/>
  <c r="P130" i="8"/>
  <c r="P132" i="8"/>
  <c r="P135" i="8"/>
  <c r="P120" i="8"/>
  <c r="P32" i="8"/>
  <c r="P119" i="8"/>
  <c r="P30" i="8"/>
  <c r="P69" i="8"/>
  <c r="P41" i="8"/>
  <c r="P40" i="8"/>
  <c r="P139" i="8"/>
  <c r="P29" i="8"/>
  <c r="P82" i="8"/>
  <c r="P142" i="8"/>
  <c r="P17" i="8"/>
  <c r="P18" i="8"/>
  <c r="P19" i="8"/>
  <c r="P20" i="8"/>
  <c r="P21" i="8"/>
  <c r="P22" i="8"/>
  <c r="P23" i="8"/>
  <c r="P24" i="8"/>
  <c r="P12" i="8"/>
  <c r="P10" i="8"/>
  <c r="P11" i="8"/>
  <c r="P13" i="8"/>
  <c r="P14" i="8"/>
  <c r="P15" i="8"/>
  <c r="P16" i="8"/>
  <c r="P9" i="8"/>
  <c r="N9" i="8"/>
  <c r="AD69" i="8"/>
  <c r="AE69" i="8" s="1"/>
  <c r="Z69" i="8"/>
  <c r="Y69" i="8"/>
  <c r="R69" i="8"/>
  <c r="T69" i="8"/>
  <c r="Y30" i="8"/>
  <c r="Z30" i="8"/>
  <c r="AD30" i="8"/>
  <c r="Y17" i="8"/>
  <c r="AL17" i="8" s="1"/>
  <c r="R40" i="8"/>
  <c r="W14" i="8"/>
  <c r="Y14" i="8" s="1"/>
  <c r="U14" i="8"/>
  <c r="V14" i="8" s="1"/>
  <c r="U113" i="8"/>
  <c r="AN113" i="8" s="1"/>
  <c r="V113" i="8"/>
  <c r="W113" i="8" s="1"/>
  <c r="U35" i="8"/>
  <c r="V35" i="8" s="1"/>
  <c r="W148" i="8"/>
  <c r="X148" i="8" s="1"/>
  <c r="AD148" i="8" s="1"/>
  <c r="AE148" i="8" s="1"/>
  <c r="V115" i="8"/>
  <c r="W115" i="8" s="1"/>
  <c r="Y115" i="8" s="1"/>
  <c r="AL115" i="8" s="1"/>
  <c r="V66" i="8"/>
  <c r="W66" i="8" s="1"/>
  <c r="Y66" i="8" s="1"/>
  <c r="U27" i="8"/>
  <c r="W27" i="8" s="1"/>
  <c r="X27" i="8" s="1"/>
  <c r="Z27" i="8" s="1"/>
  <c r="AM27" i="8" s="1"/>
  <c r="V21" i="8"/>
  <c r="U25" i="8"/>
  <c r="V25" i="8" s="1"/>
  <c r="W25" i="8" s="1"/>
  <c r="X25" i="8" s="1"/>
  <c r="U93" i="8"/>
  <c r="V93" i="8"/>
  <c r="W93" i="8" s="1"/>
  <c r="V16" i="8"/>
  <c r="W16" i="8" s="1"/>
  <c r="V67" i="8"/>
  <c r="Q142" i="8"/>
  <c r="T142" i="8"/>
  <c r="Q82" i="8"/>
  <c r="T82" i="8" s="1"/>
  <c r="X82" i="8"/>
  <c r="AD82" i="8" s="1"/>
  <c r="V82" i="8"/>
  <c r="X142" i="8"/>
  <c r="Z142" i="8" s="1"/>
  <c r="V142" i="8"/>
  <c r="Y9" i="8"/>
  <c r="AL9" i="8" s="1"/>
  <c r="Y10" i="8"/>
  <c r="U11" i="8"/>
  <c r="AN11" i="8" s="1"/>
  <c r="U12" i="8"/>
  <c r="AN12" i="8" s="1"/>
  <c r="Y13" i="8"/>
  <c r="AL13" i="8" s="1"/>
  <c r="W15" i="8"/>
  <c r="X15" i="8" s="1"/>
  <c r="W18" i="8"/>
  <c r="X18" i="8" s="1"/>
  <c r="Z18" i="8" s="1"/>
  <c r="AM18" i="8" s="1"/>
  <c r="W19" i="8"/>
  <c r="X19" i="8" s="1"/>
  <c r="Z19" i="8" s="1"/>
  <c r="AM19" i="8" s="1"/>
  <c r="W20" i="8"/>
  <c r="Y22" i="8"/>
  <c r="AL22" i="8"/>
  <c r="W23" i="8"/>
  <c r="Y23" i="8" s="1"/>
  <c r="AL23" i="8" s="1"/>
  <c r="Y24" i="8"/>
  <c r="W37" i="8"/>
  <c r="X37" i="8" s="1"/>
  <c r="Z37" i="8" s="1"/>
  <c r="AM37" i="8" s="1"/>
  <c r="Y39" i="8"/>
  <c r="AL39" i="8" s="1"/>
  <c r="U46" i="8"/>
  <c r="V46" i="8"/>
  <c r="W46" i="8" s="1"/>
  <c r="S46" i="8"/>
  <c r="Q46" i="8"/>
  <c r="R46" i="8" s="1"/>
  <c r="W48" i="8"/>
  <c r="Y48" i="8"/>
  <c r="AL48" i="8" s="1"/>
  <c r="U50" i="8"/>
  <c r="AN50" i="8"/>
  <c r="Q51" i="8"/>
  <c r="V52" i="8"/>
  <c r="Y53" i="8"/>
  <c r="U72" i="8"/>
  <c r="AN72" i="8" s="1"/>
  <c r="Y73" i="8"/>
  <c r="AL73" i="8" s="1"/>
  <c r="U74" i="8"/>
  <c r="V74" i="8" s="1"/>
  <c r="Q75" i="8"/>
  <c r="T75" i="8" s="1"/>
  <c r="Q140" i="8"/>
  <c r="R140" i="8" s="1"/>
  <c r="U77" i="8"/>
  <c r="W77" i="8" s="1"/>
  <c r="Y78" i="8"/>
  <c r="Y31" i="8"/>
  <c r="Y79" i="8"/>
  <c r="AL79" i="8" s="1"/>
  <c r="U80" i="8"/>
  <c r="AN80" i="8"/>
  <c r="U81" i="8"/>
  <c r="V81" i="8" s="1"/>
  <c r="V86" i="8"/>
  <c r="W86" i="8" s="1"/>
  <c r="W88" i="8"/>
  <c r="X88" i="8" s="1"/>
  <c r="Y90" i="8"/>
  <c r="AL90" i="8" s="1"/>
  <c r="Y96" i="8"/>
  <c r="AL96" i="8"/>
  <c r="Y98" i="8"/>
  <c r="AL98" i="8" s="1"/>
  <c r="Y100" i="8"/>
  <c r="Q103" i="8"/>
  <c r="AN103" i="8" s="1"/>
  <c r="Y105" i="8"/>
  <c r="V106" i="8"/>
  <c r="W106" i="8" s="1"/>
  <c r="Y121" i="8"/>
  <c r="U124" i="8"/>
  <c r="V124" i="8" s="1"/>
  <c r="W124" i="8" s="1"/>
  <c r="Y124" i="8" s="1"/>
  <c r="W47" i="8"/>
  <c r="X47" i="8" s="1"/>
  <c r="W83" i="8"/>
  <c r="Y83" i="8" s="1"/>
  <c r="Y117" i="8"/>
  <c r="W68" i="8"/>
  <c r="Y68" i="8" s="1"/>
  <c r="W54" i="8"/>
  <c r="X54" i="8" s="1"/>
  <c r="Z54" i="8" s="1"/>
  <c r="W99" i="8"/>
  <c r="Y99" i="8" s="1"/>
  <c r="W26" i="8"/>
  <c r="U33" i="8"/>
  <c r="W110" i="8"/>
  <c r="X110" i="8" s="1"/>
  <c r="W85" i="8"/>
  <c r="X85" i="8" s="1"/>
  <c r="W84" i="8"/>
  <c r="W126" i="8"/>
  <c r="X126" i="8" s="1"/>
  <c r="W128" i="8"/>
  <c r="X128" i="8" s="1"/>
  <c r="W89" i="8"/>
  <c r="Y89" i="8" s="1"/>
  <c r="W102" i="8"/>
  <c r="W95" i="8"/>
  <c r="X95" i="8" s="1"/>
  <c r="W123" i="8"/>
  <c r="U123" i="8" s="1"/>
  <c r="W130" i="8"/>
  <c r="Y130" i="8" s="1"/>
  <c r="AL130" i="8" s="1"/>
  <c r="W132" i="8"/>
  <c r="W135" i="8"/>
  <c r="Y135" i="8"/>
  <c r="AL135" i="8" s="1"/>
  <c r="W120" i="8"/>
  <c r="X120" i="8" s="1"/>
  <c r="Y32" i="8"/>
  <c r="W119" i="8"/>
  <c r="Y119" i="8" s="1"/>
  <c r="W41" i="8"/>
  <c r="Y41" i="8" s="1"/>
  <c r="Q41" i="8"/>
  <c r="T41" i="8" s="1"/>
  <c r="W40" i="8"/>
  <c r="X75" i="8"/>
  <c r="Z75" i="8" s="1"/>
  <c r="AM75" i="8" s="1"/>
  <c r="S51" i="8"/>
  <c r="X51" i="8"/>
  <c r="X9" i="8"/>
  <c r="AD9" i="8" s="1"/>
  <c r="X10" i="8"/>
  <c r="Z10" i="8"/>
  <c r="X13" i="8"/>
  <c r="Z13" i="8" s="1"/>
  <c r="X17" i="8"/>
  <c r="X22" i="8"/>
  <c r="X24" i="8"/>
  <c r="Z24" i="8" s="1"/>
  <c r="X39" i="8"/>
  <c r="AD39" i="8" s="1"/>
  <c r="X48" i="8"/>
  <c r="AD48" i="8"/>
  <c r="AE48" i="8" s="1"/>
  <c r="X53" i="8"/>
  <c r="X73" i="8"/>
  <c r="Z73" i="8" s="1"/>
  <c r="AM73" i="8" s="1"/>
  <c r="X140" i="8"/>
  <c r="Z140" i="8" s="1"/>
  <c r="AM140" i="8" s="1"/>
  <c r="Z78" i="8"/>
  <c r="Z31" i="8"/>
  <c r="X79" i="8"/>
  <c r="Z79" i="8" s="1"/>
  <c r="Z90" i="8"/>
  <c r="AM90" i="8" s="1"/>
  <c r="X96" i="8"/>
  <c r="AD96" i="8" s="1"/>
  <c r="X98" i="8"/>
  <c r="X100" i="8"/>
  <c r="AD100" i="8" s="1"/>
  <c r="AE100" i="8" s="1"/>
  <c r="X103" i="8"/>
  <c r="Z103" i="8"/>
  <c r="X105" i="8"/>
  <c r="AD105" i="8" s="1"/>
  <c r="X121" i="8"/>
  <c r="AD121" i="8" s="1"/>
  <c r="X117" i="8"/>
  <c r="AD117" i="8" s="1"/>
  <c r="T26" i="8"/>
  <c r="Z32" i="8"/>
  <c r="X139" i="8"/>
  <c r="Z29" i="8"/>
  <c r="AD78" i="8"/>
  <c r="AE78" i="8" s="1"/>
  <c r="AD31" i="8"/>
  <c r="AE31" i="8" s="1"/>
  <c r="AD90" i="8"/>
  <c r="AD32" i="8"/>
  <c r="Q139" i="8"/>
  <c r="Y139" i="8" s="1"/>
  <c r="Q29" i="8"/>
  <c r="U139" i="8"/>
  <c r="V139" i="8" s="1"/>
  <c r="T14" i="8"/>
  <c r="V13" i="8"/>
  <c r="V140" i="8"/>
  <c r="T30" i="8"/>
  <c r="R30" i="8"/>
  <c r="T31" i="8"/>
  <c r="T77" i="8"/>
  <c r="R121" i="8"/>
  <c r="V48" i="8"/>
  <c r="U18" i="8"/>
  <c r="AN18" i="8" s="1"/>
  <c r="U88" i="8"/>
  <c r="AN88" i="8" s="1"/>
  <c r="U47" i="8"/>
  <c r="U20" i="8"/>
  <c r="AN20" i="8" s="1"/>
  <c r="R12" i="8"/>
  <c r="U23" i="8"/>
  <c r="AN10" i="8"/>
  <c r="AN16" i="8"/>
  <c r="AN17" i="8"/>
  <c r="AN21" i="8"/>
  <c r="AN37" i="8"/>
  <c r="AN52" i="8"/>
  <c r="AN53" i="8"/>
  <c r="AN66" i="8"/>
  <c r="AN67" i="8"/>
  <c r="AN79" i="8"/>
  <c r="AN86" i="8"/>
  <c r="AN115" i="8"/>
  <c r="AN138" i="8"/>
  <c r="AN9" i="8"/>
  <c r="T33" i="8"/>
  <c r="R33" i="8"/>
  <c r="AN73" i="8"/>
  <c r="U99" i="8"/>
  <c r="V99" i="8" s="1"/>
  <c r="U54" i="8"/>
  <c r="V54" i="8" s="1"/>
  <c r="U68" i="8"/>
  <c r="U83" i="8"/>
  <c r="V83" i="8" s="1"/>
  <c r="V40" i="8"/>
  <c r="T40" i="8"/>
  <c r="U19" i="8"/>
  <c r="AN19" i="8" s="1"/>
  <c r="AN15" i="8"/>
  <c r="V15" i="8"/>
  <c r="U98" i="8"/>
  <c r="V98" i="8" s="1"/>
  <c r="U24" i="8"/>
  <c r="AN24" i="8" s="1"/>
  <c r="U39" i="8"/>
  <c r="AN39" i="8" s="1"/>
  <c r="U105" i="8"/>
  <c r="AN105" i="8" s="1"/>
  <c r="T10" i="8"/>
  <c r="AN121" i="8"/>
  <c r="AN100" i="8"/>
  <c r="AN96" i="8"/>
  <c r="AN90" i="8"/>
  <c r="U31" i="8"/>
  <c r="AN78" i="8"/>
  <c r="V75" i="8"/>
  <c r="AN48" i="8"/>
  <c r="R95" i="8"/>
  <c r="T119" i="8"/>
  <c r="R119" i="8"/>
  <c r="T32" i="8"/>
  <c r="R32" i="8"/>
  <c r="U51" i="8"/>
  <c r="V51" i="8" s="1"/>
  <c r="R96" i="8"/>
  <c r="R79" i="8"/>
  <c r="R78" i="8"/>
  <c r="R48" i="8"/>
  <c r="T67" i="8"/>
  <c r="R67" i="8"/>
  <c r="T66" i="8"/>
  <c r="R66" i="8"/>
  <c r="T27" i="8"/>
  <c r="R27" i="8"/>
  <c r="T25" i="8"/>
  <c r="R25" i="8"/>
  <c r="T113" i="8"/>
  <c r="R113" i="8"/>
  <c r="G90" i="8"/>
  <c r="J90" i="8" s="1"/>
  <c r="K90" i="8"/>
  <c r="L90" i="8"/>
  <c r="R90" i="8"/>
  <c r="T90" i="8"/>
  <c r="V79" i="8"/>
  <c r="V53" i="8"/>
  <c r="V148" i="8"/>
  <c r="V17" i="8"/>
  <c r="V10" i="8"/>
  <c r="V9" i="8"/>
  <c r="T11" i="8"/>
  <c r="T12" i="8"/>
  <c r="T13" i="8"/>
  <c r="T15" i="8"/>
  <c r="T16" i="8"/>
  <c r="T17" i="8"/>
  <c r="T18" i="8"/>
  <c r="T19" i="8"/>
  <c r="T20" i="8"/>
  <c r="T21" i="8"/>
  <c r="T22" i="8"/>
  <c r="T23" i="8"/>
  <c r="T24" i="8"/>
  <c r="T148" i="8"/>
  <c r="T35" i="8"/>
  <c r="T37" i="8"/>
  <c r="T39" i="8"/>
  <c r="T48" i="8"/>
  <c r="T50" i="8"/>
  <c r="T52" i="8"/>
  <c r="T53" i="8"/>
  <c r="T72" i="8"/>
  <c r="T73" i="8"/>
  <c r="T74" i="8"/>
  <c r="T78" i="8"/>
  <c r="T79" i="8"/>
  <c r="T80" i="8"/>
  <c r="T81" i="8"/>
  <c r="T86" i="8"/>
  <c r="T88" i="8"/>
  <c r="T93" i="8"/>
  <c r="T96" i="8"/>
  <c r="T98" i="8"/>
  <c r="T100" i="8"/>
  <c r="T105" i="8"/>
  <c r="T106" i="8"/>
  <c r="T115" i="8"/>
  <c r="T121" i="8"/>
  <c r="T124" i="8"/>
  <c r="T47" i="8"/>
  <c r="T83" i="8"/>
  <c r="T117" i="8"/>
  <c r="T68" i="8"/>
  <c r="T54" i="8"/>
  <c r="T99" i="8"/>
  <c r="T110" i="8"/>
  <c r="T85" i="8"/>
  <c r="T84" i="8"/>
  <c r="T126" i="8"/>
  <c r="T128" i="8"/>
  <c r="T89" i="8"/>
  <c r="T102" i="8"/>
  <c r="T95" i="8"/>
  <c r="T123" i="8"/>
  <c r="T130" i="8"/>
  <c r="T132" i="8"/>
  <c r="T135" i="8"/>
  <c r="T120" i="8"/>
  <c r="R10" i="8"/>
  <c r="R11" i="8"/>
  <c r="R13" i="8"/>
  <c r="R14" i="8"/>
  <c r="R15" i="8"/>
  <c r="R16" i="8"/>
  <c r="R17" i="8"/>
  <c r="R18" i="8"/>
  <c r="R19" i="8"/>
  <c r="R20" i="8"/>
  <c r="R21" i="8"/>
  <c r="R22" i="8"/>
  <c r="R23" i="8"/>
  <c r="R24" i="8"/>
  <c r="R148" i="8"/>
  <c r="R35" i="8"/>
  <c r="R39" i="8"/>
  <c r="R50" i="8"/>
  <c r="R52" i="8"/>
  <c r="R53" i="8"/>
  <c r="R72" i="8"/>
  <c r="R73" i="8"/>
  <c r="R74" i="8"/>
  <c r="R77" i="8"/>
  <c r="R31" i="8"/>
  <c r="R80" i="8"/>
  <c r="R81" i="8"/>
  <c r="R86" i="8"/>
  <c r="R88" i="8"/>
  <c r="R93" i="8"/>
  <c r="R98" i="8"/>
  <c r="R100" i="8"/>
  <c r="R105" i="8"/>
  <c r="R106" i="8"/>
  <c r="R115" i="8"/>
  <c r="R124" i="8"/>
  <c r="R47" i="8"/>
  <c r="R83" i="8"/>
  <c r="R117" i="8"/>
  <c r="R68" i="8"/>
  <c r="R54" i="8"/>
  <c r="R99" i="8"/>
  <c r="R26" i="8"/>
  <c r="R110" i="8"/>
  <c r="R85" i="8"/>
  <c r="R84" i="8"/>
  <c r="R126" i="8"/>
  <c r="R128" i="8"/>
  <c r="R89" i="8"/>
  <c r="R102" i="8"/>
  <c r="R123" i="8"/>
  <c r="R130" i="8"/>
  <c r="R132" i="8"/>
  <c r="R135" i="8"/>
  <c r="R120" i="8"/>
  <c r="R9" i="8"/>
  <c r="N117" i="8"/>
  <c r="N68" i="8"/>
  <c r="N54" i="8"/>
  <c r="N99" i="8"/>
  <c r="N26" i="8"/>
  <c r="N110" i="8"/>
  <c r="N85" i="8"/>
  <c r="N84" i="8"/>
  <c r="N126" i="8"/>
  <c r="N128" i="8"/>
  <c r="N89" i="8"/>
  <c r="N102" i="8"/>
  <c r="N95" i="8"/>
  <c r="N123" i="8"/>
  <c r="N130" i="8"/>
  <c r="N132" i="8"/>
  <c r="N135" i="8"/>
  <c r="N120" i="8"/>
  <c r="N83" i="8"/>
  <c r="N106" i="8"/>
  <c r="N105" i="8"/>
  <c r="L100" i="8"/>
  <c r="K100" i="8"/>
  <c r="J100" i="8"/>
  <c r="F100" i="8"/>
  <c r="N98" i="8"/>
  <c r="N96" i="8"/>
  <c r="N73" i="8"/>
  <c r="N74" i="8"/>
  <c r="N75" i="8"/>
  <c r="N77" i="8"/>
  <c r="N78" i="8"/>
  <c r="N80" i="8"/>
  <c r="N81" i="8"/>
  <c r="N86" i="8"/>
  <c r="N72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148" i="8"/>
  <c r="N37" i="8"/>
  <c r="N39" i="8"/>
  <c r="N46" i="8"/>
  <c r="N48" i="8"/>
  <c r="N50" i="8"/>
  <c r="N51" i="8"/>
  <c r="N52" i="8"/>
  <c r="N53" i="8"/>
  <c r="L121" i="8"/>
  <c r="K121" i="8"/>
  <c r="J121" i="8"/>
  <c r="L115" i="8"/>
  <c r="K115" i="8"/>
  <c r="J115" i="8"/>
  <c r="D115" i="8"/>
  <c r="F115" i="8" s="1"/>
  <c r="L106" i="8"/>
  <c r="K106" i="8"/>
  <c r="J106" i="8"/>
  <c r="D106" i="8"/>
  <c r="F106" i="8"/>
  <c r="L105" i="8"/>
  <c r="K105" i="8"/>
  <c r="J105" i="8"/>
  <c r="F105" i="8"/>
  <c r="L103" i="8"/>
  <c r="K103" i="8"/>
  <c r="J103" i="8"/>
  <c r="F103" i="8"/>
  <c r="L98" i="8"/>
  <c r="K98" i="8"/>
  <c r="J98" i="8"/>
  <c r="F98" i="8"/>
  <c r="E96" i="8"/>
  <c r="K96" i="8" s="1"/>
  <c r="L93" i="8"/>
  <c r="K93" i="8"/>
  <c r="J93" i="8"/>
  <c r="F93" i="8"/>
  <c r="L88" i="8"/>
  <c r="K88" i="8"/>
  <c r="J88" i="8"/>
  <c r="F88" i="8"/>
  <c r="L86" i="8"/>
  <c r="K86" i="8"/>
  <c r="J86" i="8"/>
  <c r="F86" i="8"/>
  <c r="L81" i="8"/>
  <c r="K81" i="8"/>
  <c r="J81" i="8"/>
  <c r="L80" i="8"/>
  <c r="K80" i="8"/>
  <c r="J80" i="8"/>
  <c r="F80" i="8"/>
  <c r="L78" i="8"/>
  <c r="K78" i="8"/>
  <c r="J78" i="8"/>
  <c r="F78" i="8"/>
  <c r="L77" i="8"/>
  <c r="K77" i="8"/>
  <c r="J77" i="8"/>
  <c r="F77" i="8"/>
  <c r="L75" i="8"/>
  <c r="K75" i="8"/>
  <c r="J75" i="8"/>
  <c r="F75" i="8"/>
  <c r="L74" i="8"/>
  <c r="K74" i="8"/>
  <c r="J74" i="8"/>
  <c r="L72" i="8"/>
  <c r="K72" i="8"/>
  <c r="J72" i="8"/>
  <c r="F72" i="8"/>
  <c r="L53" i="8"/>
  <c r="K53" i="8"/>
  <c r="J53" i="8"/>
  <c r="F53" i="8"/>
  <c r="E52" i="8"/>
  <c r="L52" i="8" s="1"/>
  <c r="L51" i="8"/>
  <c r="K51" i="8"/>
  <c r="J51" i="8"/>
  <c r="F51" i="8"/>
  <c r="L50" i="8"/>
  <c r="K50" i="8"/>
  <c r="J50" i="8"/>
  <c r="F50" i="8"/>
  <c r="E48" i="8"/>
  <c r="J48" i="8" s="1"/>
  <c r="L46" i="8"/>
  <c r="K46" i="8"/>
  <c r="J46" i="8"/>
  <c r="L39" i="8"/>
  <c r="K39" i="8"/>
  <c r="J39" i="8"/>
  <c r="F39" i="8"/>
  <c r="L37" i="8"/>
  <c r="K37" i="8"/>
  <c r="J37" i="8"/>
  <c r="F37" i="8"/>
  <c r="L148" i="8"/>
  <c r="L24" i="8"/>
  <c r="K24" i="8"/>
  <c r="J24" i="8"/>
  <c r="L23" i="8"/>
  <c r="K23" i="8"/>
  <c r="J23" i="8"/>
  <c r="F23" i="8"/>
  <c r="L22" i="8"/>
  <c r="K22" i="8"/>
  <c r="J22" i="8"/>
  <c r="F22" i="8"/>
  <c r="L21" i="8"/>
  <c r="K21" i="8"/>
  <c r="J21" i="8"/>
  <c r="F21" i="8"/>
  <c r="L20" i="8"/>
  <c r="K20" i="8"/>
  <c r="J20" i="8"/>
  <c r="F20" i="8"/>
  <c r="E19" i="8"/>
  <c r="F19" i="8" s="1"/>
  <c r="L18" i="8"/>
  <c r="K18" i="8"/>
  <c r="J18" i="8"/>
  <c r="L17" i="8"/>
  <c r="K17" i="8"/>
  <c r="J17" i="8"/>
  <c r="F17" i="8"/>
  <c r="L16" i="8"/>
  <c r="K16" i="8"/>
  <c r="J16" i="8"/>
  <c r="D16" i="8"/>
  <c r="F16" i="8" s="1"/>
  <c r="L15" i="8"/>
  <c r="K15" i="8"/>
  <c r="J15" i="8"/>
  <c r="F15" i="8"/>
  <c r="L14" i="8"/>
  <c r="K14" i="8"/>
  <c r="J14" i="8"/>
  <c r="F14" i="8"/>
  <c r="L13" i="8"/>
  <c r="K13" i="8"/>
  <c r="J13" i="8"/>
  <c r="F13" i="8"/>
  <c r="L12" i="8"/>
  <c r="K12" i="8"/>
  <c r="J12" i="8"/>
  <c r="F12" i="8"/>
  <c r="L11" i="8"/>
  <c r="K11" i="8"/>
  <c r="J11" i="8"/>
  <c r="F11" i="8"/>
  <c r="I10" i="8"/>
  <c r="N10" i="8" s="1"/>
  <c r="E10" i="8"/>
  <c r="L9" i="8"/>
  <c r="K9" i="8"/>
  <c r="J9" i="8"/>
  <c r="F9" i="8"/>
  <c r="V78" i="8"/>
  <c r="V121" i="8"/>
  <c r="V96" i="8"/>
  <c r="V103" i="8"/>
  <c r="AN13" i="8"/>
  <c r="V73" i="8"/>
  <c r="AN22" i="8"/>
  <c r="V22" i="8"/>
  <c r="AN106" i="8"/>
  <c r="V117" i="8"/>
  <c r="V41" i="8"/>
  <c r="Z44" i="8"/>
  <c r="AE44" i="8" s="1"/>
  <c r="Y44" i="8"/>
  <c r="AN93" i="8"/>
  <c r="X23" i="8"/>
  <c r="Z23" i="8" s="1"/>
  <c r="AM23" i="8" s="1"/>
  <c r="Z148" i="8"/>
  <c r="AN35" i="8"/>
  <c r="V33" i="8"/>
  <c r="W33" i="8" s="1"/>
  <c r="Y33" i="8" s="1"/>
  <c r="W21" i="8"/>
  <c r="X21" i="8" s="1"/>
  <c r="Z39" i="8"/>
  <c r="AM39" i="8" s="1"/>
  <c r="J10" i="8"/>
  <c r="Z48" i="8"/>
  <c r="AM48" i="8" s="1"/>
  <c r="R41" i="8"/>
  <c r="Z121" i="8"/>
  <c r="Y88" i="8"/>
  <c r="X83" i="8"/>
  <c r="Z83" i="8" s="1"/>
  <c r="U130" i="8"/>
  <c r="V130" i="8"/>
  <c r="AN25" i="8"/>
  <c r="Y95" i="8"/>
  <c r="R103" i="8"/>
  <c r="W81" i="8"/>
  <c r="F48" i="8"/>
  <c r="J19" i="8"/>
  <c r="AD75" i="8"/>
  <c r="AE75" i="8" s="1"/>
  <c r="V68" i="8"/>
  <c r="U95" i="8"/>
  <c r="V95" i="8" s="1"/>
  <c r="AD103" i="8"/>
  <c r="AE103" i="8" s="1"/>
  <c r="U126" i="8"/>
  <c r="AN126" i="8"/>
  <c r="Z117" i="8"/>
  <c r="Y85" i="8"/>
  <c r="U135" i="8"/>
  <c r="V135" i="8" s="1"/>
  <c r="Y15" i="8"/>
  <c r="AL15" i="8" s="1"/>
  <c r="Z15" i="8"/>
  <c r="AM15" i="8" s="1"/>
  <c r="AD15" i="8"/>
  <c r="AE15" i="8" s="1"/>
  <c r="AD37" i="8"/>
  <c r="AE37" i="8" s="1"/>
  <c r="X119" i="8"/>
  <c r="Z119" i="8" s="1"/>
  <c r="X66" i="8"/>
  <c r="AD66" i="8" s="1"/>
  <c r="AD10" i="8"/>
  <c r="AD142" i="8"/>
  <c r="AE142" i="8" s="1"/>
  <c r="V11" i="8"/>
  <c r="W11" i="8" s="1"/>
  <c r="X11" i="8" s="1"/>
  <c r="Y103" i="8"/>
  <c r="V31" i="8"/>
  <c r="R143" i="8"/>
  <c r="T29" i="8"/>
  <c r="K52" i="8"/>
  <c r="V24" i="8"/>
  <c r="W52" i="8"/>
  <c r="X52" i="8" s="1"/>
  <c r="AD52" i="8" s="1"/>
  <c r="V19" i="8"/>
  <c r="R82" i="8"/>
  <c r="X135" i="8"/>
  <c r="Z135" i="8" s="1"/>
  <c r="AM135" i="8" s="1"/>
  <c r="Y37" i="8"/>
  <c r="AL37" i="8" s="1"/>
  <c r="W35" i="8"/>
  <c r="Y35" i="8" s="1"/>
  <c r="AL35" i="8" s="1"/>
  <c r="G96" i="8"/>
  <c r="J96" i="8" s="1"/>
  <c r="F96" i="8"/>
  <c r="L96" i="8"/>
  <c r="X102" i="8"/>
  <c r="Y126" i="8"/>
  <c r="AL126" i="8" s="1"/>
  <c r="AN98" i="8"/>
  <c r="Y123" i="8"/>
  <c r="AL129" i="8" s="1"/>
  <c r="W67" i="8"/>
  <c r="Y67" i="8" s="1"/>
  <c r="AD116" i="8"/>
  <c r="AE116" i="8" s="1"/>
  <c r="R144" i="8"/>
  <c r="T144" i="8"/>
  <c r="U128" i="8"/>
  <c r="AN128" i="8" s="1"/>
  <c r="R142" i="8"/>
  <c r="Y142" i="8"/>
  <c r="Y145" i="8"/>
  <c r="AE32" i="8"/>
  <c r="V12" i="8"/>
  <c r="W12" i="8" s="1"/>
  <c r="Y12" i="8" s="1"/>
  <c r="V80" i="8"/>
  <c r="W80" i="8"/>
  <c r="Y80" i="8" s="1"/>
  <c r="V20" i="8"/>
  <c r="T46" i="8"/>
  <c r="V47" i="8"/>
  <c r="AN77" i="8"/>
  <c r="V77" i="8"/>
  <c r="AN81" i="8"/>
  <c r="V50" i="8"/>
  <c r="W50" i="8" s="1"/>
  <c r="Y50" i="8" s="1"/>
  <c r="Y25" i="8"/>
  <c r="AL25" i="8" s="1"/>
  <c r="AD27" i="8"/>
  <c r="Z22" i="8"/>
  <c r="AM22" i="8" s="1"/>
  <c r="AD22" i="8"/>
  <c r="AE22" i="8" s="1"/>
  <c r="V39" i="8"/>
  <c r="R29" i="8"/>
  <c r="Z100" i="8"/>
  <c r="AD73" i="8"/>
  <c r="Y19" i="8"/>
  <c r="AL19" i="8" s="1"/>
  <c r="Z145" i="8"/>
  <c r="X115" i="8"/>
  <c r="AN23" i="8"/>
  <c r="V23" i="8"/>
  <c r="AE90" i="8"/>
  <c r="U120" i="8"/>
  <c r="Y120" i="8"/>
  <c r="Y82" i="8"/>
  <c r="Z139" i="8"/>
  <c r="Z105" i="8"/>
  <c r="AE105" i="8" s="1"/>
  <c r="X99" i="8"/>
  <c r="Z99" i="8" s="1"/>
  <c r="W74" i="8"/>
  <c r="X74" i="8" s="1"/>
  <c r="AN14" i="8"/>
  <c r="R146" i="8"/>
  <c r="Y146" i="8"/>
  <c r="Y21" i="8"/>
  <c r="AN130" i="8"/>
  <c r="V126" i="8"/>
  <c r="Y11" i="8"/>
  <c r="AL11" i="8" s="1"/>
  <c r="Y52" i="8"/>
  <c r="AD119" i="8"/>
  <c r="X35" i="8"/>
  <c r="V120" i="8"/>
  <c r="AD19" i="8"/>
  <c r="AE19" i="8" s="1"/>
  <c r="AE119" i="8"/>
  <c r="X86" i="8" l="1"/>
  <c r="Y86" i="8"/>
  <c r="AD25" i="8"/>
  <c r="Z25" i="8"/>
  <c r="AM25" i="8" s="1"/>
  <c r="X80" i="8"/>
  <c r="X67" i="8"/>
  <c r="X12" i="8"/>
  <c r="V128" i="8"/>
  <c r="X33" i="8"/>
  <c r="AD145" i="8"/>
  <c r="AE145" i="8" s="1"/>
  <c r="T145" i="8"/>
  <c r="X123" i="8"/>
  <c r="Y54" i="8"/>
  <c r="X41" i="8"/>
  <c r="Z41" i="8" s="1"/>
  <c r="Y110" i="8"/>
  <c r="AE10" i="8"/>
  <c r="J52" i="8"/>
  <c r="U110" i="8"/>
  <c r="V110" i="8" s="1"/>
  <c r="L19" i="8"/>
  <c r="Z96" i="8"/>
  <c r="AM96" i="8" s="1"/>
  <c r="K19" i="8"/>
  <c r="F52" i="8"/>
  <c r="AD24" i="8"/>
  <c r="AE24" i="8" s="1"/>
  <c r="Z51" i="8"/>
  <c r="AM51" i="8" s="1"/>
  <c r="AN46" i="8"/>
  <c r="Z82" i="8"/>
  <c r="AE82" i="8" s="1"/>
  <c r="X14" i="8"/>
  <c r="AE30" i="8"/>
  <c r="X42" i="8"/>
  <c r="AE73" i="8"/>
  <c r="AE27" i="8"/>
  <c r="X50" i="8"/>
  <c r="Z50" i="8" s="1"/>
  <c r="Z66" i="8"/>
  <c r="AE66" i="8" s="1"/>
  <c r="AD135" i="8"/>
  <c r="AE135" i="8" s="1"/>
  <c r="AD83" i="8"/>
  <c r="AE83" i="8" s="1"/>
  <c r="AN74" i="8"/>
  <c r="AD139" i="8"/>
  <c r="AE139" i="8" s="1"/>
  <c r="Y27" i="8"/>
  <c r="AL27" i="8" s="1"/>
  <c r="V72" i="8"/>
  <c r="W72" i="8" s="1"/>
  <c r="Y128" i="8"/>
  <c r="AL128" i="8" s="1"/>
  <c r="Y148" i="8"/>
  <c r="AD18" i="8"/>
  <c r="AE18" i="8" s="1"/>
  <c r="Z9" i="8"/>
  <c r="AM9" i="8" s="1"/>
  <c r="T139" i="8"/>
  <c r="Y143" i="8"/>
  <c r="AL143" i="8" s="1"/>
  <c r="AL144" i="8" s="1"/>
  <c r="AD79" i="8"/>
  <c r="AE79" i="8" s="1"/>
  <c r="Y18" i="8"/>
  <c r="AL18" i="8" s="1"/>
  <c r="AD74" i="8"/>
  <c r="AE74" i="8" s="1"/>
  <c r="Z74" i="8"/>
  <c r="X113" i="8"/>
  <c r="Y113" i="8"/>
  <c r="Y74" i="8"/>
  <c r="AD102" i="8"/>
  <c r="Z102" i="8"/>
  <c r="Z17" i="8"/>
  <c r="AM17" i="8" s="1"/>
  <c r="AD17" i="8"/>
  <c r="X40" i="8"/>
  <c r="Z40" i="8" s="1"/>
  <c r="AM138" i="8" s="1"/>
  <c r="Y40" i="8"/>
  <c r="AL138" i="8" s="1"/>
  <c r="Y132" i="8"/>
  <c r="AL132" i="8" s="1"/>
  <c r="U132" i="8"/>
  <c r="X132" i="8"/>
  <c r="U102" i="8"/>
  <c r="V102" i="8" s="1"/>
  <c r="Y102" i="8"/>
  <c r="Y84" i="8"/>
  <c r="X84" i="8"/>
  <c r="U84" i="8"/>
  <c r="V84" i="8" s="1"/>
  <c r="X26" i="8"/>
  <c r="Z26" i="8" s="1"/>
  <c r="U26" i="8"/>
  <c r="V26" i="8" s="1"/>
  <c r="X46" i="8"/>
  <c r="Y46" i="8"/>
  <c r="AL46" i="8" s="1"/>
  <c r="X20" i="8"/>
  <c r="Y20" i="8"/>
  <c r="AL20" i="8" s="1"/>
  <c r="X93" i="8"/>
  <c r="Y93" i="8"/>
  <c r="Z144" i="8"/>
  <c r="AD144" i="8"/>
  <c r="Z143" i="8"/>
  <c r="AM143" i="8" s="1"/>
  <c r="AM144" i="8" s="1"/>
  <c r="AD143" i="8"/>
  <c r="AD35" i="8"/>
  <c r="Z35" i="8"/>
  <c r="AM35" i="8" s="1"/>
  <c r="Z149" i="8"/>
  <c r="Z152" i="8" s="1"/>
  <c r="AD54" i="8"/>
  <c r="AE54" i="8" s="1"/>
  <c r="X68" i="8"/>
  <c r="Y26" i="8"/>
  <c r="AD92" i="8"/>
  <c r="AE92" i="8" s="1"/>
  <c r="AD29" i="8"/>
  <c r="AE29" i="8" s="1"/>
  <c r="Y29" i="8"/>
  <c r="AD98" i="8"/>
  <c r="Z98" i="8"/>
  <c r="AM98" i="8" s="1"/>
  <c r="AD53" i="8"/>
  <c r="Z53" i="8"/>
  <c r="Y51" i="8"/>
  <c r="AL51" i="8" s="1"/>
  <c r="AD51" i="8"/>
  <c r="AE51" i="8" s="1"/>
  <c r="R51" i="8"/>
  <c r="AN51" i="8"/>
  <c r="T51" i="8"/>
  <c r="AD50" i="8"/>
  <c r="Z115" i="8"/>
  <c r="AM115" i="8" s="1"/>
  <c r="AD115" i="8"/>
  <c r="Y72" i="8"/>
  <c r="X72" i="8"/>
  <c r="X81" i="8"/>
  <c r="Y81" i="8"/>
  <c r="Z47" i="8"/>
  <c r="AD47" i="8"/>
  <c r="AN140" i="8"/>
  <c r="Y140" i="8"/>
  <c r="AL140" i="8" s="1"/>
  <c r="T140" i="8"/>
  <c r="AD140" i="8"/>
  <c r="AE140" i="8" s="1"/>
  <c r="Z52" i="8"/>
  <c r="AE52" i="8" s="1"/>
  <c r="AD80" i="8"/>
  <c r="AE80" i="8" s="1"/>
  <c r="Z80" i="8"/>
  <c r="AN135" i="8"/>
  <c r="Z21" i="8"/>
  <c r="AD21" i="8"/>
  <c r="AE21" i="8" s="1"/>
  <c r="Y47" i="8"/>
  <c r="K10" i="8"/>
  <c r="F10" i="8"/>
  <c r="X16" i="8"/>
  <c r="Y16" i="8"/>
  <c r="AL16" i="8" s="1"/>
  <c r="AE96" i="8"/>
  <c r="AD99" i="8"/>
  <c r="AE99" i="8" s="1"/>
  <c r="X124" i="8"/>
  <c r="AD23" i="8"/>
  <c r="AE23" i="8" s="1"/>
  <c r="V27" i="8"/>
  <c r="V105" i="8"/>
  <c r="AD146" i="8"/>
  <c r="AE146" i="8" s="1"/>
  <c r="AD13" i="8"/>
  <c r="AE13" i="8" s="1"/>
  <c r="U85" i="8"/>
  <c r="V85" i="8" s="1"/>
  <c r="L10" i="8"/>
  <c r="U89" i="8"/>
  <c r="V89" i="8" s="1"/>
  <c r="L48" i="8"/>
  <c r="R139" i="8"/>
  <c r="R75" i="8"/>
  <c r="K48" i="8"/>
  <c r="AE117" i="8"/>
  <c r="AN124" i="8"/>
  <c r="AN27" i="8"/>
  <c r="AD41" i="8"/>
  <c r="AE41" i="8" s="1"/>
  <c r="T103" i="8"/>
  <c r="AN75" i="8"/>
  <c r="X130" i="8"/>
  <c r="V18" i="8"/>
  <c r="X89" i="8"/>
  <c r="Y75" i="8"/>
  <c r="AL75" i="8" s="1"/>
  <c r="AE121" i="8"/>
  <c r="AE39" i="8"/>
  <c r="AE137" i="8"/>
  <c r="AM13" i="8"/>
  <c r="AD120" i="8"/>
  <c r="Z120" i="8"/>
  <c r="Z85" i="8"/>
  <c r="AD85" i="8"/>
  <c r="Z88" i="8"/>
  <c r="AD88" i="8"/>
  <c r="AD11" i="8"/>
  <c r="AE11" i="8" s="1"/>
  <c r="Z11" i="8"/>
  <c r="AM11" i="8" s="1"/>
  <c r="AN129" i="8"/>
  <c r="V123" i="8"/>
  <c r="Z128" i="8"/>
  <c r="AM128" i="8" s="1"/>
  <c r="AD128" i="8"/>
  <c r="Z110" i="8"/>
  <c r="AD110" i="8"/>
  <c r="AM79" i="8"/>
  <c r="Z95" i="8"/>
  <c r="AD95" i="8"/>
  <c r="Z126" i="8"/>
  <c r="AM126" i="8" s="1"/>
  <c r="AD126" i="8"/>
  <c r="X106" i="8"/>
  <c r="Y106" i="8"/>
  <c r="AL106" i="8" s="1"/>
  <c r="X77" i="8"/>
  <c r="Y77" i="8"/>
  <c r="AD40" i="8"/>
  <c r="AD26" i="8"/>
  <c r="AE26" i="8" l="1"/>
  <c r="AE50" i="8"/>
  <c r="Z67" i="8"/>
  <c r="AD67" i="8"/>
  <c r="AE67" i="8" s="1"/>
  <c r="AE88" i="8"/>
  <c r="AE115" i="8"/>
  <c r="AE144" i="8"/>
  <c r="AE9" i="8"/>
  <c r="AD42" i="8"/>
  <c r="Z42" i="8"/>
  <c r="AD33" i="8"/>
  <c r="Z33" i="8"/>
  <c r="AE33" i="8" s="1"/>
  <c r="AD123" i="8"/>
  <c r="Z123" i="8"/>
  <c r="AM129" i="8" s="1"/>
  <c r="Z86" i="8"/>
  <c r="AD86" i="8"/>
  <c r="AE86" i="8" s="1"/>
  <c r="AE53" i="8"/>
  <c r="Z14" i="8"/>
  <c r="AD14" i="8"/>
  <c r="Z12" i="8"/>
  <c r="AD12" i="8"/>
  <c r="AE25" i="8"/>
  <c r="Z124" i="8"/>
  <c r="AD124" i="8"/>
  <c r="AE124" i="8" s="1"/>
  <c r="Z93" i="8"/>
  <c r="AD93" i="8"/>
  <c r="AE93" i="8" s="1"/>
  <c r="AD84" i="8"/>
  <c r="Z84" i="8"/>
  <c r="AN132" i="8"/>
  <c r="V132" i="8"/>
  <c r="AN143" i="8"/>
  <c r="AE120" i="8"/>
  <c r="Z81" i="8"/>
  <c r="AD81" i="8"/>
  <c r="AE81" i="8" s="1"/>
  <c r="Z68" i="8"/>
  <c r="AD68" i="8"/>
  <c r="AE68" i="8" s="1"/>
  <c r="AE35" i="8"/>
  <c r="Z20" i="8"/>
  <c r="AM20" i="8" s="1"/>
  <c r="AD20" i="8"/>
  <c r="AE17" i="8"/>
  <c r="Z16" i="8"/>
  <c r="AM16" i="8" s="1"/>
  <c r="AD16" i="8"/>
  <c r="AE16" i="8" s="1"/>
  <c r="Z46" i="8"/>
  <c r="AM46" i="8" s="1"/>
  <c r="AD46" i="8"/>
  <c r="AE46" i="8" s="1"/>
  <c r="AD132" i="8"/>
  <c r="Z132" i="8"/>
  <c r="AM132" i="8" s="1"/>
  <c r="AD113" i="8"/>
  <c r="Z113" i="8"/>
  <c r="AD89" i="8"/>
  <c r="Z89" i="8"/>
  <c r="AE98" i="8"/>
  <c r="AE102" i="8"/>
  <c r="AE126" i="8"/>
  <c r="AE128" i="8"/>
  <c r="AE85" i="8"/>
  <c r="Z130" i="8"/>
  <c r="AM130" i="8" s="1"/>
  <c r="AD130" i="8"/>
  <c r="AE47" i="8"/>
  <c r="Z72" i="8"/>
  <c r="AD72" i="8"/>
  <c r="AE72" i="8" s="1"/>
  <c r="AE143" i="8"/>
  <c r="AE40" i="8"/>
  <c r="Z77" i="8"/>
  <c r="AD77" i="8"/>
  <c r="AE77" i="8" s="1"/>
  <c r="AE95" i="8"/>
  <c r="AE110" i="8"/>
  <c r="Z106" i="8"/>
  <c r="AM106" i="8" s="1"/>
  <c r="AD106" i="8"/>
  <c r="AE14" i="8" l="1"/>
  <c r="AE12" i="8"/>
  <c r="AE123" i="8"/>
  <c r="AE42" i="8"/>
  <c r="AE130" i="8"/>
  <c r="AE89" i="8"/>
  <c r="AE132" i="8"/>
  <c r="AE113" i="8"/>
  <c r="AE20" i="8"/>
  <c r="AE84" i="8"/>
  <c r="AE106" i="8"/>
</calcChain>
</file>

<file path=xl/sharedStrings.xml><?xml version="1.0" encoding="utf-8"?>
<sst xmlns="http://schemas.openxmlformats.org/spreadsheetml/2006/main" count="465" uniqueCount="241">
  <si>
    <t>МУП "Ленинский ЖЭУ"</t>
  </si>
  <si>
    <t>ОАО "Энергоснабжающее предприятие"</t>
  </si>
  <si>
    <t>МУП "Сердобская теплосеть"</t>
  </si>
  <si>
    <t>ООО "Энергосервис" г.Городище</t>
  </si>
  <si>
    <t>МУП "Никольское ЖКХ"</t>
  </si>
  <si>
    <t>ООО "ЭнергоСервис" г.Спасск</t>
  </si>
  <si>
    <t>ООО "Гипромаш"</t>
  </si>
  <si>
    <t>ООО "Наровчатский тепловик"</t>
  </si>
  <si>
    <t>ООО "Очаг"</t>
  </si>
  <si>
    <t>МКП "Теплоснабжение г.Пензы"</t>
  </si>
  <si>
    <t>Пензенский Цетр ОВД филиала "Аэронавигация Центральной Волги"</t>
  </si>
  <si>
    <t>МУП "Гортеплосеть" г.Кузнецка</t>
  </si>
  <si>
    <t>МУП по очистке города</t>
  </si>
  <si>
    <t>МУП "Пензадормост"</t>
  </si>
  <si>
    <t>ООО "Союз"</t>
  </si>
  <si>
    <t>Филиал ОАО "Юго-Запад транснефтепродукт" "ЛПДС "Соседка"</t>
  </si>
  <si>
    <t>Филиал ОАО "Юго-Запад транснефтепродукт" "ЛПДС "Пенза"</t>
  </si>
  <si>
    <t>без НДС</t>
  </si>
  <si>
    <t>НДС не облагается</t>
  </si>
  <si>
    <t>Рост, %</t>
  </si>
  <si>
    <t>Тариф 2010</t>
  </si>
  <si>
    <t xml:space="preserve">Наименование организации </t>
  </si>
  <si>
    <t xml:space="preserve">Муниципальное образование </t>
  </si>
  <si>
    <t xml:space="preserve">г. Каменка </t>
  </si>
  <si>
    <t xml:space="preserve">г. Пенза </t>
  </si>
  <si>
    <t xml:space="preserve">Ленинский сельсовет </t>
  </si>
  <si>
    <t xml:space="preserve">г. Сердобск </t>
  </si>
  <si>
    <t xml:space="preserve">р.п. Земетчино </t>
  </si>
  <si>
    <t>г. Городище</t>
  </si>
  <si>
    <t xml:space="preserve">г. Никольск </t>
  </si>
  <si>
    <t xml:space="preserve">г. Спасск </t>
  </si>
  <si>
    <t xml:space="preserve">г. Сурск </t>
  </si>
  <si>
    <t xml:space="preserve">г. Кузнецк </t>
  </si>
  <si>
    <t xml:space="preserve">г. Заречный </t>
  </si>
  <si>
    <t xml:space="preserve">Кузнецкий район </t>
  </si>
  <si>
    <t xml:space="preserve">Башмаковский район </t>
  </si>
  <si>
    <t xml:space="preserve">с. Ясная поляна </t>
  </si>
  <si>
    <t xml:space="preserve">ЛПУ санаторий "Березовая роща" </t>
  </si>
  <si>
    <t xml:space="preserve">без НДС </t>
  </si>
  <si>
    <t xml:space="preserve">МУП "Зеленое хозяйство г. Пензы" </t>
  </si>
  <si>
    <t xml:space="preserve">Пензенский произ.участок Дирекции по тепловодоснабжению ОАО "РЖД" </t>
  </si>
  <si>
    <t xml:space="preserve">НДС не облагается </t>
  </si>
  <si>
    <t xml:space="preserve">р.п. Пачелма </t>
  </si>
  <si>
    <t xml:space="preserve">МУП "Каменская Горэлектросеть" </t>
  </si>
  <si>
    <t xml:space="preserve">Кижеватовский сельсовет </t>
  </si>
  <si>
    <t xml:space="preserve">Вазерский сельсовет </t>
  </si>
  <si>
    <t xml:space="preserve">МУП "Жилсервис" </t>
  </si>
  <si>
    <t xml:space="preserve">Алферьевский сельсовет </t>
  </si>
  <si>
    <t xml:space="preserve">МУП "Богословка" </t>
  </si>
  <si>
    <t xml:space="preserve">Богословский сельсовет </t>
  </si>
  <si>
    <t xml:space="preserve">Золотаревский сельсовет </t>
  </si>
  <si>
    <t xml:space="preserve">ММУП ЖКХ "Леонидовка" </t>
  </si>
  <si>
    <t xml:space="preserve">Саловский сельсовет </t>
  </si>
  <si>
    <t xml:space="preserve">ООО "Каменка" </t>
  </si>
  <si>
    <t xml:space="preserve">Старокаменский сельсовет </t>
  </si>
  <si>
    <t xml:space="preserve">г. Белинский </t>
  </si>
  <si>
    <t xml:space="preserve">г. Н-Ломов </t>
  </si>
  <si>
    <t xml:space="preserve">МУП КХ "Банно-прачечный комбинат" </t>
  </si>
  <si>
    <t>ОАО "Магистральные нефтепроводы "Дружба" филиал "КРУ"</t>
  </si>
  <si>
    <t>Бессоновский сельсовет</t>
  </si>
  <si>
    <t>МЭУ Бессоновского района</t>
  </si>
  <si>
    <t>р.п. Колышлей</t>
  </si>
  <si>
    <t>ООО санаторий "Хопровские зори"</t>
  </si>
  <si>
    <t>МУП "Чистота"</t>
  </si>
  <si>
    <t>-</t>
  </si>
  <si>
    <t>новая организ.</t>
  </si>
  <si>
    <t>р.п. Мокшан</t>
  </si>
  <si>
    <t xml:space="preserve">МУП "Жилкомсервис" </t>
  </si>
  <si>
    <t>п.Сазанье</t>
  </si>
  <si>
    <t>Приказ ФСТ</t>
  </si>
  <si>
    <t>№244-э/2 от 7.10.2010</t>
  </si>
  <si>
    <t>Рост,%</t>
  </si>
  <si>
    <t xml:space="preserve"> 2011 год </t>
  </si>
  <si>
    <t>2012 год</t>
  </si>
  <si>
    <t>с 01.7.по 31.08.</t>
  </si>
  <si>
    <t>с 01.09. по 31.12</t>
  </si>
  <si>
    <t>с 01.01.по 30.06.</t>
  </si>
  <si>
    <t>ООО "Энергосбыт-Комфорт" ОП Коммунальные системы г.Сердобска</t>
  </si>
  <si>
    <t>ООО "Гелиос"</t>
  </si>
  <si>
    <t>Чемодановский сельский совет</t>
  </si>
  <si>
    <t>ООО "РемТеплоВодомонтаж"</t>
  </si>
  <si>
    <t>МУП Бессоновского сельслвета "Исток"</t>
  </si>
  <si>
    <t>ГУ Войсковая часть 45108</t>
  </si>
  <si>
    <t>ООО "Энергосбыт-Комфорт" г.Никольска Пензенской области</t>
  </si>
  <si>
    <t>ФКУ ИК-4 УФСИН РФ по Пензенской области</t>
  </si>
  <si>
    <t xml:space="preserve">ООО МКП "Тепловодоснабжение Белинского района" </t>
  </si>
  <si>
    <t>с.Засечное</t>
  </si>
  <si>
    <t>ООО "Водоканал"</t>
  </si>
  <si>
    <t>ООО "Энергосбыт-Комфорт" ОП Бессоновские коммунальные системы</t>
  </si>
  <si>
    <t>ООО "Тепловик"</t>
  </si>
  <si>
    <t>ООО Многопрофильное инновационное предприятие "Энергоресурс"</t>
  </si>
  <si>
    <t>с 01.01. по 30.06</t>
  </si>
  <si>
    <t>с 01.07. по 31.12</t>
  </si>
  <si>
    <t>ООО "Инвест-Энерго"</t>
  </si>
  <si>
    <t>с. Неверкино</t>
  </si>
  <si>
    <t>СПОК "Исток" Неверкинского района</t>
  </si>
  <si>
    <t>МУП "Кондольское МПО ЖКХ</t>
  </si>
  <si>
    <t>ООО "Спичечная фабрика "Победа"</t>
  </si>
  <si>
    <t>МБУК «Межпоселенческий центральный районный Дом Культуры»</t>
  </si>
  <si>
    <t>Никольский район</t>
  </si>
  <si>
    <t>ООО «Пивоваренный завод «Самко»</t>
  </si>
  <si>
    <t>с.Кондоль</t>
  </si>
  <si>
    <t>МУП ЖКХ «Саловка»</t>
  </si>
  <si>
    <t>не регулировались</t>
  </si>
  <si>
    <t>с 01.01. по 30.06.12</t>
  </si>
  <si>
    <t>Приказ № от</t>
  </si>
  <si>
    <t>Приказ №154 от 07.12.2012</t>
  </si>
  <si>
    <t>Приказ №139 от 23.11.2012</t>
  </si>
  <si>
    <t>Приказ №144 от 28.11.2012</t>
  </si>
  <si>
    <t>Приказ №125 от 9.11.2012</t>
  </si>
  <si>
    <t>Приказ №143 от 27.11.2012</t>
  </si>
  <si>
    <t>Приказ №129 от 16.11.2012</t>
  </si>
  <si>
    <t>Приказ №162 от 14.12.2012</t>
  </si>
  <si>
    <t>Приказ №170 от 19.12.2012</t>
  </si>
  <si>
    <t>Приказ №157 от 7.12.2012</t>
  </si>
  <si>
    <t>Филиал «Саратовский» ОАО «Ремонтно-эксплуатационное управление»  на территории г. Кузнецка Пензенской области</t>
  </si>
  <si>
    <t>Филиал «Саратовский» ОАО «Ремонтно-эксплуатационное управление» на территории р.п. Земетчино Земетчинского района</t>
  </si>
  <si>
    <t>Филиал «Саратовский» ОАО «Ремонтно-эксплуатационное управление» на территории р.п. Пачелма Пачелмского района</t>
  </si>
  <si>
    <t>Филиал «Саратовский» ОАО «Ремонтно-эксплуатационное управление» на территории р.п. Башмаково Башмаковского района</t>
  </si>
  <si>
    <t>Филиал «Саратовский» ОАО «Ремонтно-эксплуатационное управление» на территории с. Неверкино Неверкинского района</t>
  </si>
  <si>
    <t>Филиал «Саратовский» ОАО «Ремонтно-эксплуатационное управление» на территории с. Наровчат Наровчатского района</t>
  </si>
  <si>
    <t>Филиал «Саратовский» ОАО «Ремонтно-эксплуатационное управление» на территории р.п. Лунино Лунинского района</t>
  </si>
  <si>
    <t>Филиал «Саратовский» ОАО «Ремонтно-эксплуатационное управление» на территории п.г.т. Исса Иссинского района</t>
  </si>
  <si>
    <t>Филиал «Саратовский» ОАО «Ремонтно-эксплуатационное управление» на территории с. Малая Сердоба Малосердобинского района</t>
  </si>
  <si>
    <t>Филиал «Саратовский» ОАО «Ремонтно-эксплуатационное управление» на территории р.п. Мокшан Мокшанского района</t>
  </si>
  <si>
    <t>Филиал «Саратовский» ОАО «Ремонтно-эксплуатационное управление» на территории с. Лопатино Лопатинского района</t>
  </si>
  <si>
    <t>Филиал «Саратовский» ОАО «Ремонтно-эксплуатационное управление» на территории п.г.т. Шемышейка Шемышейского района</t>
  </si>
  <si>
    <t>Филиал «Саратовский» ОАО «Ремонтно-эксплуатационное управление» на территории Кондольского сельсовета Пензенского района Пензенского района Пензенской области</t>
  </si>
  <si>
    <t>Филиал «Саратовский» ОАО «Ремонтно-эксплуатационное управление»  на территории Чемодановского сельсовета, Кижеватовского сельсовета Бессоновского района Пензенской области</t>
  </si>
  <si>
    <t>Филиал «Саратовский» ОАО «Ремонтно-эксплуатационное управление»  на территории г. Пензы Пензенской области</t>
  </si>
  <si>
    <t>Филиал «Саратовский» ОАО «Ремонтно-эксплуатационное управление» на территории р.п. Колышлей Колышлейского района Пензенской области</t>
  </si>
  <si>
    <t>Филиал «Саратовский» ОАО «Ремонтно-эксплуатационное управление» на территории п.Сазанье Сазанского сельсовета Сердобского района Пензенской области</t>
  </si>
  <si>
    <t>Филиал «Саратовский» ОАО «Ремонтно-эксплуатационное управление» на территории г.Сердобска Сердобского района Пензенской области</t>
  </si>
  <si>
    <t>Тариф</t>
  </si>
  <si>
    <t>Филиал «Саратовский» ОАО «Ремонтно-эксплуатационное управление» на териритории ст. Леонидовка Пензенского района</t>
  </si>
  <si>
    <t>Филиал «Саратовский» ОАО «Ремонтно-эксплуатационное управление» на территории  Никольского сельсовета Кузнецкого района Пензенской области</t>
  </si>
  <si>
    <t>Приказ №135 от 19.11.2012</t>
  </si>
  <si>
    <t>с.Верхний Ломов</t>
  </si>
  <si>
    <t>пар</t>
  </si>
  <si>
    <t>гор. вода</t>
  </si>
  <si>
    <t>МУП "Теплоснабжение"</t>
  </si>
  <si>
    <t>2014 год</t>
  </si>
  <si>
    <t>с 01.01. по 30.07</t>
  </si>
  <si>
    <t>ЗАО "Пензенская горэлектросеть"</t>
  </si>
  <si>
    <t>рост,%</t>
  </si>
  <si>
    <t>Среднезвешенный тариф</t>
  </si>
  <si>
    <t>Рост</t>
  </si>
  <si>
    <t>июль/январь</t>
  </si>
  <si>
    <t>полезный отпуск (с учетом соб. Потребления на производст. Нужды),   тыс.Гкал</t>
  </si>
  <si>
    <t>НВВ, тыс.руб.</t>
  </si>
  <si>
    <t>МУП "Земетчинское"</t>
  </si>
  <si>
    <t>МУП "Камешкирское КХ"</t>
  </si>
  <si>
    <t>с. Р. Камешкир</t>
  </si>
  <si>
    <t>ПТЖТ-фииал СамГУПС</t>
  </si>
  <si>
    <t>ООО "ГК "ЦеСИС"</t>
  </si>
  <si>
    <t>МУП ЖКХ Сокольское Сердобского района</t>
  </si>
  <si>
    <t>МУП ЖКХ Мещерского сельсовета</t>
  </si>
  <si>
    <t>с. Мещерское</t>
  </si>
  <si>
    <t>ФБУ «ФУ БХУХО» (войсковая часть 21222) г. Пенза</t>
  </si>
  <si>
    <t>филиал ФБУ «ФУ БХУХО» (войсковая часть 21222) пос. Леонидовка</t>
  </si>
  <si>
    <t>ООО "ГКС Энерго"</t>
  </si>
  <si>
    <t>полезный отпуск на реализацию, тыс.Гкал</t>
  </si>
  <si>
    <t>ФКУ ИК-5 УФСИН России по Пензенской области</t>
  </si>
  <si>
    <t>ООО "ЭнергоАудитКонсалтинг"</t>
  </si>
  <si>
    <t>ГБУЗ "Областная наркологическая больница"</t>
  </si>
  <si>
    <t>п.Русский Ишим</t>
  </si>
  <si>
    <t>Филиал «Саратовский» ОАО «Ремонтно-эксплуатационное управление»  на территории г. Пензы Пензенской области (ПАР)</t>
  </si>
  <si>
    <t>2015 год</t>
  </si>
  <si>
    <t>ООО "Комэнерго"</t>
  </si>
  <si>
    <t>МУП "Сервис"</t>
  </si>
  <si>
    <t>ГБУ "Пензенский областной центр реабилитации"</t>
  </si>
  <si>
    <t>ООО ПКФ "Энергетик-2001"</t>
  </si>
  <si>
    <t>ЗАО ТЭКПО Лунинский район</t>
  </si>
  <si>
    <t>ЗАО ТЭКПО Малосердобинский район</t>
  </si>
  <si>
    <t>МУП ЖКХ "Универсал"</t>
  </si>
  <si>
    <t>МУП "Коммунальное хозяйство"</t>
  </si>
  <si>
    <t>Система налогооблажения</t>
  </si>
  <si>
    <t>Тариф, руб./Гкал</t>
  </si>
  <si>
    <t>Информация по принятым тарифам на тепловую энергию на территриии Пензенской области на 2015 год</t>
  </si>
  <si>
    <t>с 01.07.2014 по 31.12.2014</t>
  </si>
  <si>
    <t>с 01.01.2015 по 30.06.2015</t>
  </si>
  <si>
    <t>с 01.07.2015 по 31.12.2015</t>
  </si>
  <si>
    <t>Филиал «Саратовский» ОАО «Ремонтно-эксплуатационное управление» на территории деревни Воейково Саловского сельсовета Пензенского района Пензенской области</t>
  </si>
  <si>
    <t>ООО "Теплоэнерго"</t>
  </si>
  <si>
    <t>ЗАО ТЭКПО Колышлейский район</t>
  </si>
  <si>
    <t>№ п/п</t>
  </si>
  <si>
    <t>ООО ЭнергоПромРесурс</t>
  </si>
  <si>
    <t>МУП Гортеплосеть (передача)</t>
  </si>
  <si>
    <t>ООО "СКМ энергосервис"</t>
  </si>
  <si>
    <t>г. Пенза</t>
  </si>
  <si>
    <t>г. Кузнецк</t>
  </si>
  <si>
    <t>г. Белинский</t>
  </si>
  <si>
    <t>г. Никольск</t>
  </si>
  <si>
    <t>г. Сердобск</t>
  </si>
  <si>
    <t>Сердобский район</t>
  </si>
  <si>
    <t>г. Каменка</t>
  </si>
  <si>
    <t>г. Сурск</t>
  </si>
  <si>
    <t>г. Спасск</t>
  </si>
  <si>
    <t>Пензенский район</t>
  </si>
  <si>
    <t xml:space="preserve">с. Кондоль  </t>
  </si>
  <si>
    <t>Земетчинский район</t>
  </si>
  <si>
    <t>Наровчатский район</t>
  </si>
  <si>
    <t>Башмаковский район</t>
  </si>
  <si>
    <t>Кузнецкий район</t>
  </si>
  <si>
    <t>Пачелмский район</t>
  </si>
  <si>
    <t>Бессоновский район</t>
  </si>
  <si>
    <t>Камешкирский район</t>
  </si>
  <si>
    <t>Колышлейский район</t>
  </si>
  <si>
    <t>Мокшанский район</t>
  </si>
  <si>
    <t>Неверкинский район</t>
  </si>
  <si>
    <t>с. Засечное</t>
  </si>
  <si>
    <t xml:space="preserve">Лопатинский район </t>
  </si>
  <si>
    <t>Шемышейский район</t>
  </si>
  <si>
    <t>Лунинский район</t>
  </si>
  <si>
    <t>Иссинский район</t>
  </si>
  <si>
    <t>Малосердобинский район</t>
  </si>
  <si>
    <t>Сосновоборский район</t>
  </si>
  <si>
    <t>Городищенский район</t>
  </si>
  <si>
    <t>пос. Леонидовка</t>
  </si>
  <si>
    <t>Нижнеломовский район</t>
  </si>
  <si>
    <t>г. Заречный</t>
  </si>
  <si>
    <t>г. Н-Ломов</t>
  </si>
  <si>
    <t xml:space="preserve"> с. Соколка</t>
  </si>
  <si>
    <t>п. Сазанье</t>
  </si>
  <si>
    <t>с. Кирова</t>
  </si>
  <si>
    <t xml:space="preserve">ст. Леонидовка </t>
  </si>
  <si>
    <t>Кондольский сельсовет</t>
  </si>
  <si>
    <t>р.п. Башмаково</t>
  </si>
  <si>
    <t>Никольский сельсовет</t>
  </si>
  <si>
    <t>с. Лопатино</t>
  </si>
  <si>
    <t>п.г.т. Шемышейка</t>
  </si>
  <si>
    <t>р.п. Лунино</t>
  </si>
  <si>
    <t>п.г.т. Исса</t>
  </si>
  <si>
    <t>с. Малая Сердоба</t>
  </si>
  <si>
    <t>р.п  Сосновоборск</t>
  </si>
  <si>
    <t>филиал Пензенский ОАО "Волжская ТГК"</t>
  </si>
  <si>
    <t xml:space="preserve">ЛПУ санаторий им. С.М. Кирова </t>
  </si>
  <si>
    <t xml:space="preserve">ЛПУ Санаторий им. В.В.  Володарского </t>
  </si>
  <si>
    <t>с. Наровчат</t>
  </si>
  <si>
    <t>п. Чаадаевка</t>
  </si>
  <si>
    <t>ГАПОУ ПО ПМПК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</si>
</sst>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0000"/>
  </numFmts>
  <fonts count="10" x14ac:knownFonts="1">
    <font>
      <sz val="10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color indexed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3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wrapText="1"/>
    </xf>
    <xf numFmtId="0" fontId="0" fillId="0" borderId="1" xfId="0" applyFill="1" applyBorder="1"/>
    <xf numFmtId="0" fontId="0" fillId="2" borderId="1" xfId="0" applyFill="1" applyBorder="1"/>
    <xf numFmtId="2" fontId="0" fillId="0" borderId="0" xfId="0" applyNumberFormat="1"/>
    <xf numFmtId="4" fontId="0" fillId="0" borderId="0" xfId="0" applyNumberFormat="1"/>
    <xf numFmtId="0" fontId="0" fillId="3" borderId="0" xfId="0" applyFill="1"/>
    <xf numFmtId="0" fontId="2" fillId="0" borderId="1" xfId="0" applyFont="1" applyFill="1" applyBorder="1" applyAlignment="1">
      <alignment horizontal="center" vertical="center"/>
    </xf>
    <xf numFmtId="0" fontId="0" fillId="3" borderId="0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3" xfId="0" applyBorder="1"/>
    <xf numFmtId="0" fontId="1" fillId="3" borderId="3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0" fillId="3" borderId="3" xfId="0" applyFont="1" applyFill="1" applyBorder="1"/>
    <xf numFmtId="0" fontId="3" fillId="3" borderId="1" xfId="0" applyFont="1" applyFill="1" applyBorder="1" applyAlignment="1">
      <alignment vertical="center" wrapText="1"/>
    </xf>
    <xf numFmtId="2" fontId="0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4" borderId="1" xfId="0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 wrapText="1"/>
    </xf>
    <xf numFmtId="0" fontId="0" fillId="7" borderId="0" xfId="0" applyFill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vertical="center" wrapText="1"/>
    </xf>
    <xf numFmtId="0" fontId="0" fillId="8" borderId="0" xfId="0" applyFill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vertical="center" wrapText="1"/>
    </xf>
    <xf numFmtId="0" fontId="0" fillId="10" borderId="0" xfId="0" applyFill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66" fontId="0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9" borderId="1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3" borderId="0" xfId="0" applyFont="1" applyFill="1" applyBorder="1" applyAlignment="1">
      <alignment wrapText="1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47;&#1040;&#1054;%20&#1055;&#1043;&#1069;&#1057;/&#1085;&#1072;%202015/2015%20&#1075;/2015%20&#1075;%20&#1089;&#1084;&#1077;&#1090;&#1072;%20%20&#1084;&#1086;&#1103;%20&#1091;&#1090;&#1074;.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0;&#1086;&#1085;&#1076;&#1086;&#1083;&#1100;/2015/&#1050;&#1072;&#1083;&#1100;&#1082;&#1091;&#1083;&#1103;&#1094;&#1080;&#1103;%20&#1050;&#1086;&#1085;&#1076;&#1086;&#1083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41;&#1086;&#1075;&#1086;&#1089;&#1083;&#1086;&#1074;&#1082;&#1072;/2015/&#1089;&#1084;&#1077;&#1090;&#1072;%20&#1085;&#1072;%20201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7;&#1072;&#1083;&#1086;&#1074;&#1082;&#1072;/2015/&#1082;&#1072;&#1083;&#1100;&#1082;&#1091;&#1083;&#1103;&#1094;&#1080;&#1103;%20&#1089;&#1072;&#1083;&#1086;&#1074;&#1082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42;&#1086;&#1076;&#1086;&#1082;&#1072;&#1085;&#1072;&#1083;%20&#1089;.%20&#1047;&#1072;&#1089;&#1077;&#1095;&#1085;&#1086;&#1077;/2015/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4;&#1095;&#1072;&#1075;/2015/&#1089;&#1084;&#1077;&#1090;&#1072;%20&#1085;&#1072;%202015%20&#1075;&#1086;&#107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7;&#1055;&#1054;&#1050;%20&#1048;&#1057;&#1058;&#1054;&#1050;/2015/&#1050;&#1072;&#1083;&#1100;&#1082;&#1091;&#1083;&#1103;&#1094;&#1080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2;&#1041;&#1059;&#1050;%20&#1052;&#1062;&#1056;&#1044;&#1050;/2015/&#1089;&#1084;&#1077;&#1090;&#1072;%20&#1085;&#1072;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43;&#1054;&#1059;%20&#1057;&#1055;&#1054;%20&#1055;&#1054;/2015/&#1050;&#1072;&#1083;&#1100;&#1082;&#1091;&#1083;&#1103;&#1094;&#1080;&#1103;%20&#1050;&#1086;&#1083;&#1083;&#1077;&#1076;&#107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5;&#1077;&#1085;&#1079;&#1072;&#1076;&#1086;&#1088;&#1084;&#1086;&#1089;&#1090;/2015/&#1089;&#1084;&#1077;&#1090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0;&#1080;&#1088;&#1086;&#1074;&#1072;/2015/&#1050;&#1072;&#1083;&#1100;&#1082;&#1091;&#1083;&#1103;&#1094;&#1080;&#1103;%20&#1057;&#1072;&#1085;&#1072;&#1090;&#1086;&#1088;&#1080;&#1081;%20&#1080;&#1084;.&#1050;&#1080;&#1088;&#1086;&#1074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42;&#1086;&#1083;&#1086;&#1076;&#1072;&#1088;&#1089;&#1082;&#1088;&#1075;&#1086;/2015/&#1050;&#1072;&#1083;&#1100;&#1082;&#1091;&#1083;&#1103;&#1094;&#1080;&#1103;%20&#1057;&#1072;&#1085;&#1072;&#1090;&#1086;&#1088;&#1080;&#1081;%20&#1080;&#1084;.%20&#1042;&#1086;&#1083;&#1086;&#1076;&#1072;&#1088;&#1089;&#1082;&#1086;&#1075;&#10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69;-&#1050;%20&#1053;&#1080;&#1082;&#1086;&#1083;&#1100;&#1089;&#1082;/2015/&#1089;&#1084;&#1077;&#1090;&#1072;%20&#1085;&#1072;%202015%20&#1075;&#1086;&#107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7;&#1077;&#1088;&#1076;&#1086;&#1073;&#1089;&#1082;&#1072;&#1103;%20&#1090;&#1077;&#1087;&#1083;&#1086;&#1089;&#1077;&#1090;&#1100;/2015/&#1089;&#1084;&#1077;&#1090;&#1072;%20&#1085;&#1072;%202015%20&#1075;&#1086;&#107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69;-&#1050;%20&#1057;&#1077;&#1088;&#1076;&#1086;&#1073;&#1089;&#1082;/2015/&#1089;&#1084;&#1077;&#1090;&#1072;%20&#1085;&#1072;%202015%20&#107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/&#1052;&#1054;&#1048;%20&#1044;&#1054;&#1050;&#1059;&#1052;&#1045;&#1053;&#1058;&#1067;/&#1048;.&#1045;/&#1058;&#1045;&#1055;&#1051;&#1054;/&#1051;&#1077;&#1085;&#1080;&#1085;&#1089;&#1082;&#1080;&#1081;%20&#1046;&#1069;&#1059;/2015/&#1050;&#1072;&#1083;&#1100;&#1082;&#1091;&#1083;&#1103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план 2014"/>
      <sheetName val="БДР 2013"/>
      <sheetName val="% общех"/>
      <sheetName val="общехоз"/>
      <sheetName val="объем"/>
      <sheetName val="реестр заявителей"/>
      <sheetName val="спецодежда"/>
      <sheetName val="потери"/>
      <sheetName val="страхование"/>
      <sheetName val="матер"/>
      <sheetName val="усл пр"/>
      <sheetName val="налог на землю"/>
      <sheetName val="нал имущ"/>
      <sheetName val="амортизац"/>
      <sheetName val="медосм"/>
      <sheetName val="связь"/>
      <sheetName val="приб"/>
      <sheetName val="норм числ"/>
      <sheetName val="2"/>
      <sheetName val="3.1"/>
      <sheetName val="4.1 полезн отпуск"/>
      <sheetName val="4.3"/>
      <sheetName val="4.6 СМЕТА"/>
      <sheetName val="4.7"/>
      <sheetName val="4.9"/>
      <sheetName val="4.10"/>
      <sheetName val="4.11"/>
      <sheetName val="4.12"/>
      <sheetName val="6.1"/>
      <sheetName val="6.4"/>
      <sheetName val="опись"/>
      <sheetName val="опись теплонос"/>
      <sheetName val="шильдик"/>
      <sheetName val="шильд"/>
    </sheetNames>
    <sheetDataSet>
      <sheetData sheetId="0">
        <row r="297">
          <cell r="S297">
            <v>3946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2015"/>
      <sheetName val="Лист3"/>
      <sheetName val="свод"/>
    </sheetNames>
    <sheetDataSet>
      <sheetData sheetId="0"/>
      <sheetData sheetId="1"/>
      <sheetData sheetId="2">
        <row r="27">
          <cell r="AQ27">
            <v>1680.3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2009"/>
      <sheetName val="2014-2015"/>
      <sheetName val="Лист3"/>
      <sheetName val="20 23 26 факт 2012"/>
      <sheetName val="20 26 факт 2013 и 1 пол.2014"/>
    </sheetNames>
    <sheetDataSet>
      <sheetData sheetId="0"/>
      <sheetData sheetId="1"/>
      <sheetData sheetId="2"/>
      <sheetData sheetId="3">
        <row r="34">
          <cell r="BI34">
            <v>12048.7</v>
          </cell>
        </row>
      </sheetData>
      <sheetData sheetId="4"/>
      <sheetData sheetId="5"/>
      <sheetData sheetId="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2"/>
      <sheetName val="2013"/>
      <sheetName val="Лист2"/>
      <sheetName val="свод 2015"/>
      <sheetName val="смета 2015"/>
    </sheetNames>
    <sheetDataSet>
      <sheetData sheetId="0"/>
      <sheetData sheetId="1"/>
      <sheetData sheetId="2"/>
      <sheetData sheetId="3"/>
      <sheetData sheetId="4">
        <row r="67">
          <cell r="AV67">
            <v>4201.6000000000004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"/>
      <sheetName val="2013"/>
      <sheetName val="2008 год"/>
      <sheetName val="2009 год"/>
      <sheetName val="2010 год (2)"/>
      <sheetName val="2011 (2)"/>
      <sheetName val="2011"/>
      <sheetName val="Лист1"/>
      <sheetName val="Лист2"/>
      <sheetName val="23,26 на 2015"/>
    </sheetNames>
    <sheetDataSet>
      <sheetData sheetId="0">
        <row r="65">
          <cell r="AT65">
            <v>8358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услуги"/>
    </sheetNames>
    <sheetDataSet>
      <sheetData sheetId="0">
        <row r="43">
          <cell r="AF43">
            <v>2323</v>
          </cell>
        </row>
      </sheetData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4"/>
      <sheetName val="Лист3"/>
    </sheetNames>
    <sheetDataSet>
      <sheetData sheetId="0"/>
      <sheetData sheetId="1"/>
      <sheetData sheetId="2">
        <row r="40">
          <cell r="U40">
            <v>2332.9</v>
          </cell>
        </row>
      </sheetData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>
        <row r="38">
          <cell r="AA38">
            <v>943.7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">
          <cell r="AH27">
            <v>2429.6391091798309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>
        <row r="27">
          <cell r="AW27">
            <v>2465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.б. для шаблона"/>
      <sheetName val="Лист1"/>
      <sheetName val="Лист2"/>
      <sheetName val="Лист3"/>
    </sheetNames>
    <sheetDataSet>
      <sheetData sheetId="0">
        <row r="34">
          <cell r="Z34">
            <v>6342.6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.б. для шаблона"/>
      <sheetName val="Лист1"/>
      <sheetName val="Лист2"/>
      <sheetName val="Лист3"/>
    </sheetNames>
    <sheetDataSet>
      <sheetData sheetId="0"/>
      <sheetData sheetId="1">
        <row r="26">
          <cell r="X26">
            <v>8252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3.1"/>
      <sheetName val="4.1"/>
      <sheetName val="4.3"/>
      <sheetName val="4.4"/>
      <sheetName val=" 4.5"/>
      <sheetName val="2014 смета принятая"/>
      <sheetName val=" 4.6  Смета"/>
      <sheetName val="4.7"/>
      <sheetName val="4.8"/>
      <sheetName val="4.9"/>
      <sheetName val="4.11"/>
      <sheetName val="4.12"/>
      <sheetName val="4.13"/>
      <sheetName val="4.14"/>
      <sheetName val="4.15"/>
      <sheetName val="6.1"/>
      <sheetName val="люд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9">
          <cell r="AO69">
            <v>20472</v>
          </cell>
        </row>
        <row r="70">
          <cell r="AP70">
            <v>1450.7290212593653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Лист1"/>
    </sheetNames>
    <sheetDataSet>
      <sheetData sheetId="0">
        <row r="84">
          <cell r="U84">
            <v>32874.800000000003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"/>
      <sheetName val="2015"/>
    </sheetNames>
    <sheetDataSet>
      <sheetData sheetId="0" refreshError="1"/>
      <sheetData sheetId="1" refreshError="1">
        <row r="65">
          <cell r="AA65">
            <v>1579.6162792345804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15"/>
      <sheetName val="сбор"/>
    </sheetNames>
    <sheetDataSet>
      <sheetData sheetId="0"/>
      <sheetData sheetId="1">
        <row r="33">
          <cell r="AK33">
            <v>3153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C462"/>
  <sheetViews>
    <sheetView tabSelected="1" view="pageBreakPreview" zoomScale="90" zoomScaleNormal="80" zoomScaleSheetLayoutView="90" workbookViewId="0">
      <pane xSplit="14" ySplit="6" topLeftCell="O10" activePane="bottomRight" state="frozen"/>
      <selection pane="topRight" activeCell="O1" sqref="O1"/>
      <selection pane="bottomLeft" activeCell="A9" sqref="A9"/>
      <selection pane="bottomRight" activeCell="C11" sqref="C11"/>
    </sheetView>
  </sheetViews>
  <sheetFormatPr defaultRowHeight="12.5" x14ac:dyDescent="0.25"/>
  <cols>
    <col min="1" max="1" width="9.453125" hidden="1" customWidth="1"/>
    <col min="2" max="2" width="23.26953125" hidden="1" customWidth="1"/>
    <col min="3" max="3" width="63.26953125" customWidth="1"/>
    <col min="4" max="4" width="13.26953125" hidden="1" customWidth="1"/>
    <col min="5" max="5" width="11.26953125" hidden="1" customWidth="1"/>
    <col min="6" max="6" width="13.26953125" hidden="1" customWidth="1"/>
    <col min="7" max="7" width="9.453125" hidden="1" customWidth="1"/>
    <col min="8" max="8" width="9" hidden="1" customWidth="1"/>
    <col min="9" max="9" width="20.54296875" hidden="1" customWidth="1"/>
    <col min="10" max="11" width="8.7265625" hidden="1" customWidth="1"/>
    <col min="12" max="13" width="10.26953125" hidden="1" customWidth="1"/>
    <col min="14" max="14" width="18.453125" hidden="1" customWidth="1"/>
    <col min="15" max="15" width="23.1796875" customWidth="1"/>
    <col min="16" max="16" width="20.26953125" hidden="1" customWidth="1"/>
    <col min="17" max="18" width="22.7265625" customWidth="1"/>
    <col min="19" max="19" width="21.54296875" customWidth="1"/>
    <col min="20" max="20" width="20.1796875" customWidth="1"/>
    <col min="21" max="24" width="12" hidden="1" customWidth="1"/>
    <col min="25" max="25" width="15.7265625" hidden="1" customWidth="1"/>
    <col min="26" max="26" width="13.54296875" hidden="1" customWidth="1"/>
    <col min="27" max="28" width="12" hidden="1" customWidth="1"/>
    <col min="29" max="30" width="13.54296875" hidden="1" customWidth="1"/>
    <col min="31" max="31" width="2.26953125" hidden="1" customWidth="1"/>
    <col min="32" max="32" width="17" style="1" customWidth="1"/>
    <col min="33" max="34" width="10.26953125" style="1" hidden="1" customWidth="1"/>
    <col min="35" max="35" width="27.7265625" style="1" hidden="1" customWidth="1"/>
    <col min="36" max="39" width="8.7265625" style="1" hidden="1" customWidth="1"/>
    <col min="40" max="40" width="13.7265625" style="1" hidden="1" customWidth="1"/>
    <col min="41" max="45" width="8.7265625" style="8" hidden="1" customWidth="1"/>
    <col min="46" max="107" width="8.7265625" style="8" customWidth="1"/>
  </cols>
  <sheetData>
    <row r="1" spans="1:107" ht="12.75" customHeight="1" x14ac:dyDescent="0.35">
      <c r="A1" s="10"/>
      <c r="B1" s="69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19"/>
      <c r="AH1" s="16"/>
      <c r="AI1" s="16"/>
      <c r="AJ1" s="4"/>
      <c r="AK1" s="4"/>
      <c r="AL1" s="4"/>
      <c r="AM1" s="4"/>
      <c r="AN1" s="4"/>
    </row>
    <row r="2" spans="1:107" ht="16.5" x14ac:dyDescent="0.35">
      <c r="A2" s="78" t="s">
        <v>178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21"/>
      <c r="AI2" s="4"/>
      <c r="AJ2" s="4"/>
      <c r="AK2" s="4"/>
      <c r="AL2" s="4"/>
      <c r="AM2" s="4"/>
      <c r="AN2" s="4"/>
    </row>
    <row r="3" spans="1:107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21"/>
      <c r="AI3" s="4"/>
      <c r="AJ3" s="4"/>
      <c r="AK3" s="4"/>
      <c r="AL3" s="4"/>
      <c r="AM3" s="4"/>
      <c r="AN3" s="4"/>
    </row>
    <row r="4" spans="1:107" ht="12.5" customHeight="1" x14ac:dyDescent="0.25">
      <c r="A4" s="83" t="s">
        <v>185</v>
      </c>
      <c r="B4" s="80" t="s">
        <v>22</v>
      </c>
      <c r="C4" s="71" t="s">
        <v>21</v>
      </c>
      <c r="D4" s="11"/>
      <c r="E4" s="71" t="s">
        <v>72</v>
      </c>
      <c r="F4" s="11"/>
      <c r="G4" s="70" t="s">
        <v>73</v>
      </c>
      <c r="H4" s="70"/>
      <c r="I4" s="70"/>
      <c r="J4" s="70" t="s">
        <v>71</v>
      </c>
      <c r="K4" s="70"/>
      <c r="L4" s="70"/>
      <c r="M4" s="70" t="s">
        <v>141</v>
      </c>
      <c r="N4" s="70"/>
      <c r="O4" s="70"/>
      <c r="P4" s="13"/>
      <c r="Q4" s="70" t="s">
        <v>167</v>
      </c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13"/>
      <c r="AE4" s="13"/>
      <c r="AF4" s="73" t="s">
        <v>176</v>
      </c>
      <c r="AG4" s="11"/>
      <c r="AH4" s="75" t="s">
        <v>69</v>
      </c>
      <c r="AI4" s="74" t="s">
        <v>105</v>
      </c>
      <c r="AJ4" s="5"/>
      <c r="AK4" s="5"/>
      <c r="AL4" s="4"/>
      <c r="AM4" s="4"/>
      <c r="AN4" s="4"/>
    </row>
    <row r="5" spans="1:107" ht="31.9" customHeight="1" x14ac:dyDescent="0.25">
      <c r="A5" s="84"/>
      <c r="B5" s="81"/>
      <c r="C5" s="71"/>
      <c r="D5" s="11"/>
      <c r="E5" s="71"/>
      <c r="F5" s="11"/>
      <c r="G5" s="70"/>
      <c r="H5" s="70"/>
      <c r="I5" s="70"/>
      <c r="J5" s="13"/>
      <c r="K5" s="13"/>
      <c r="L5" s="13"/>
      <c r="M5" s="13" t="s">
        <v>133</v>
      </c>
      <c r="N5" s="13" t="s">
        <v>19</v>
      </c>
      <c r="O5" s="15" t="s">
        <v>177</v>
      </c>
      <c r="P5" s="15" t="s">
        <v>177</v>
      </c>
      <c r="Q5" s="15" t="s">
        <v>177</v>
      </c>
      <c r="R5" s="15" t="s">
        <v>144</v>
      </c>
      <c r="S5" s="15" t="s">
        <v>177</v>
      </c>
      <c r="T5" s="15" t="s">
        <v>144</v>
      </c>
      <c r="U5" s="72" t="s">
        <v>148</v>
      </c>
      <c r="V5" s="72"/>
      <c r="W5" s="72" t="s">
        <v>161</v>
      </c>
      <c r="X5" s="72"/>
      <c r="Y5" s="70" t="s">
        <v>149</v>
      </c>
      <c r="Z5" s="70"/>
      <c r="AA5" s="70" t="s">
        <v>145</v>
      </c>
      <c r="AB5" s="70"/>
      <c r="AC5" s="13" t="s">
        <v>146</v>
      </c>
      <c r="AD5" s="70"/>
      <c r="AE5" s="70"/>
      <c r="AF5" s="73"/>
      <c r="AG5" s="11"/>
      <c r="AH5" s="75"/>
      <c r="AI5" s="74"/>
      <c r="AJ5" s="5"/>
      <c r="AK5" s="5"/>
      <c r="AL5" s="4"/>
      <c r="AM5" s="4"/>
      <c r="AN5" s="4"/>
    </row>
    <row r="6" spans="1:107" ht="32.65" customHeight="1" x14ac:dyDescent="0.25">
      <c r="A6" s="85"/>
      <c r="B6" s="82"/>
      <c r="C6" s="71"/>
      <c r="D6" s="11" t="s">
        <v>20</v>
      </c>
      <c r="E6" s="71"/>
      <c r="F6" s="11" t="s">
        <v>19</v>
      </c>
      <c r="G6" s="12" t="s">
        <v>76</v>
      </c>
      <c r="H6" s="12" t="s">
        <v>74</v>
      </c>
      <c r="I6" s="12" t="s">
        <v>75</v>
      </c>
      <c r="J6" s="12" t="s">
        <v>76</v>
      </c>
      <c r="K6" s="12" t="s">
        <v>74</v>
      </c>
      <c r="L6" s="12" t="s">
        <v>75</v>
      </c>
      <c r="M6" s="15" t="s">
        <v>91</v>
      </c>
      <c r="N6" s="15" t="s">
        <v>104</v>
      </c>
      <c r="O6" s="15" t="s">
        <v>179</v>
      </c>
      <c r="P6" s="12"/>
      <c r="Q6" s="15" t="s">
        <v>180</v>
      </c>
      <c r="R6" s="15" t="s">
        <v>180</v>
      </c>
      <c r="S6" s="15" t="s">
        <v>181</v>
      </c>
      <c r="T6" s="15" t="s">
        <v>181</v>
      </c>
      <c r="U6" s="15" t="s">
        <v>91</v>
      </c>
      <c r="V6" s="15" t="s">
        <v>92</v>
      </c>
      <c r="W6" s="15" t="s">
        <v>91</v>
      </c>
      <c r="X6" s="15" t="s">
        <v>142</v>
      </c>
      <c r="Y6" s="15" t="s">
        <v>91</v>
      </c>
      <c r="Z6" s="15" t="s">
        <v>92</v>
      </c>
      <c r="AA6" s="15" t="s">
        <v>91</v>
      </c>
      <c r="AB6" s="15" t="s">
        <v>142</v>
      </c>
      <c r="AC6" s="15" t="s">
        <v>147</v>
      </c>
      <c r="AD6" s="70"/>
      <c r="AE6" s="70"/>
      <c r="AF6" s="73"/>
      <c r="AG6" s="11"/>
      <c r="AH6" s="75"/>
      <c r="AI6" s="74"/>
      <c r="AJ6" s="5" t="s">
        <v>139</v>
      </c>
      <c r="AK6" s="5" t="s">
        <v>138</v>
      </c>
      <c r="AL6" s="4"/>
      <c r="AM6" s="4"/>
      <c r="AN6" s="4"/>
    </row>
    <row r="7" spans="1:107" ht="19.149999999999999" customHeight="1" x14ac:dyDescent="0.25">
      <c r="A7" s="14">
        <v>1</v>
      </c>
      <c r="B7" s="15">
        <v>2</v>
      </c>
      <c r="C7" s="14">
        <v>3</v>
      </c>
      <c r="D7" s="11"/>
      <c r="E7" s="14"/>
      <c r="F7" s="11"/>
      <c r="G7" s="12"/>
      <c r="H7" s="12"/>
      <c r="I7" s="12"/>
      <c r="J7" s="12"/>
      <c r="K7" s="12"/>
      <c r="L7" s="12"/>
      <c r="M7" s="15"/>
      <c r="N7" s="15"/>
      <c r="O7" s="15">
        <v>4</v>
      </c>
      <c r="P7" s="12"/>
      <c r="Q7" s="15">
        <v>4</v>
      </c>
      <c r="R7" s="15">
        <v>6</v>
      </c>
      <c r="S7" s="15">
        <v>7</v>
      </c>
      <c r="T7" s="15">
        <v>8</v>
      </c>
      <c r="U7" s="15"/>
      <c r="V7" s="15"/>
      <c r="W7" s="15"/>
      <c r="X7" s="15"/>
      <c r="Y7" s="15"/>
      <c r="Z7" s="15"/>
      <c r="AA7" s="15"/>
      <c r="AB7" s="15"/>
      <c r="AC7" s="15"/>
      <c r="AD7" s="13"/>
      <c r="AE7" s="13"/>
      <c r="AF7" s="15">
        <v>9</v>
      </c>
      <c r="AG7" s="11"/>
      <c r="AH7" s="17"/>
      <c r="AI7" s="9"/>
      <c r="AJ7" s="5"/>
      <c r="AK7" s="5"/>
      <c r="AL7" s="4"/>
      <c r="AM7" s="4"/>
      <c r="AN7" s="4"/>
    </row>
    <row r="8" spans="1:107" ht="19.149999999999999" customHeight="1" x14ac:dyDescent="0.25">
      <c r="A8" s="79" t="s">
        <v>189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11"/>
      <c r="AH8" s="17"/>
      <c r="AI8" s="9"/>
      <c r="AJ8" s="5"/>
      <c r="AK8" s="5"/>
      <c r="AL8" s="4"/>
      <c r="AM8" s="4"/>
      <c r="AN8" s="4"/>
    </row>
    <row r="9" spans="1:107" s="28" customFormat="1" ht="19.149999999999999" customHeight="1" x14ac:dyDescent="0.25">
      <c r="A9" s="15">
        <v>1</v>
      </c>
      <c r="B9" s="12" t="s">
        <v>24</v>
      </c>
      <c r="C9" s="12" t="s">
        <v>235</v>
      </c>
      <c r="D9" s="15">
        <v>639</v>
      </c>
      <c r="E9" s="15">
        <v>698.11</v>
      </c>
      <c r="F9" s="23">
        <f t="shared" ref="F9:F17" si="0">E9/D9*100</f>
        <v>109.25039123630673</v>
      </c>
      <c r="G9" s="23">
        <v>698.11</v>
      </c>
      <c r="H9" s="23">
        <v>739.99</v>
      </c>
      <c r="I9" s="23">
        <v>781.18</v>
      </c>
      <c r="J9" s="23">
        <f t="shared" ref="J9:J24" si="1">G9/E9*100</f>
        <v>100</v>
      </c>
      <c r="K9" s="23">
        <f t="shared" ref="K9:K24" si="2">H9/E9*100</f>
        <v>105.99905459025084</v>
      </c>
      <c r="L9" s="23">
        <f t="shared" ref="L9:L23" si="3">I9/E9*100</f>
        <v>111.89927088854191</v>
      </c>
      <c r="M9" s="23">
        <v>895.23</v>
      </c>
      <c r="N9" s="23">
        <f>M9/I9*100</f>
        <v>114.59970813384881</v>
      </c>
      <c r="O9" s="23">
        <v>947.05</v>
      </c>
      <c r="P9" s="23">
        <f t="shared" ref="P9:P27" si="4">O9/M9*100</f>
        <v>105.78845659774584</v>
      </c>
      <c r="Q9" s="23">
        <v>947.05</v>
      </c>
      <c r="R9" s="24">
        <f t="shared" ref="R9:R53" si="5">Q9/O9*100</f>
        <v>100</v>
      </c>
      <c r="S9" s="23">
        <v>1039.8599999999999</v>
      </c>
      <c r="T9" s="24">
        <f>S9/Q9*100</f>
        <v>109.7999049680587</v>
      </c>
      <c r="U9" s="23">
        <v>2779.5369999999998</v>
      </c>
      <c r="V9" s="23">
        <f>U9</f>
        <v>2779.5369999999998</v>
      </c>
      <c r="W9" s="25">
        <v>2779.5369999999998</v>
      </c>
      <c r="X9" s="25">
        <f t="shared" ref="X9:X27" si="6">W9</f>
        <v>2779.5369999999998</v>
      </c>
      <c r="Y9" s="23">
        <f t="shared" ref="Y9:Y27" si="7">W9*Q9</f>
        <v>2632360.5158499996</v>
      </c>
      <c r="Z9" s="23">
        <f t="shared" ref="Z9:Z27" si="8">X9*S9</f>
        <v>2890329.3448199993</v>
      </c>
      <c r="AA9" s="23"/>
      <c r="AB9" s="23"/>
      <c r="AC9" s="23"/>
      <c r="AD9" s="23">
        <f>Q9*1.0979999*X9</f>
        <v>2890331.5831672479</v>
      </c>
      <c r="AE9" s="23">
        <f t="shared" ref="AE9:AE27" si="9">AD9-Z9</f>
        <v>2.2383472486399114</v>
      </c>
      <c r="AF9" s="15" t="s">
        <v>17</v>
      </c>
      <c r="AG9" s="15"/>
      <c r="AH9" s="26" t="s">
        <v>70</v>
      </c>
      <c r="AI9" s="26" t="s">
        <v>110</v>
      </c>
      <c r="AJ9" s="26">
        <v>2716.42</v>
      </c>
      <c r="AK9" s="26">
        <v>211.76499999999999</v>
      </c>
      <c r="AL9" s="26">
        <f>Y9*1.18</f>
        <v>3106185.4087029994</v>
      </c>
      <c r="AM9" s="26">
        <f>Z9*1.18</f>
        <v>3410588.626887599</v>
      </c>
      <c r="AN9" s="26">
        <f t="shared" ref="AN9:AN25" si="10">U9*Q9</f>
        <v>2632360.5158499996</v>
      </c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</row>
    <row r="10" spans="1:107" s="28" customFormat="1" ht="19.149999999999999" customHeight="1" x14ac:dyDescent="0.25">
      <c r="A10" s="15">
        <v>2</v>
      </c>
      <c r="B10" s="12" t="s">
        <v>24</v>
      </c>
      <c r="C10" s="12" t="s">
        <v>84</v>
      </c>
      <c r="D10" s="23">
        <v>621.34</v>
      </c>
      <c r="E10" s="23">
        <f>710.67*1.18</f>
        <v>838.59059999999988</v>
      </c>
      <c r="F10" s="23">
        <f t="shared" si="0"/>
        <v>134.9648501625519</v>
      </c>
      <c r="G10" s="23">
        <v>710.67</v>
      </c>
      <c r="H10" s="23">
        <v>753.3</v>
      </c>
      <c r="I10" s="23">
        <f>795.2*1.18</f>
        <v>938.33600000000001</v>
      </c>
      <c r="J10" s="23">
        <f t="shared" si="1"/>
        <v>84.745762711864415</v>
      </c>
      <c r="K10" s="23">
        <f t="shared" si="2"/>
        <v>89.829292148039826</v>
      </c>
      <c r="L10" s="23">
        <f t="shared" si="3"/>
        <v>111.89440950089353</v>
      </c>
      <c r="M10" s="24">
        <v>1080.96</v>
      </c>
      <c r="N10" s="23">
        <f t="shared" ref="N10:N53" si="11">M10/I10*100</f>
        <v>115.19967261194284</v>
      </c>
      <c r="O10" s="24">
        <v>1144.73</v>
      </c>
      <c r="P10" s="23">
        <f t="shared" si="4"/>
        <v>105.8993857312019</v>
      </c>
      <c r="Q10" s="24">
        <v>1144.73</v>
      </c>
      <c r="R10" s="24">
        <f t="shared" si="5"/>
        <v>100</v>
      </c>
      <c r="S10" s="24">
        <v>1218.1400000000001</v>
      </c>
      <c r="T10" s="24">
        <f>S10/Q10*100</f>
        <v>106.41286591598021</v>
      </c>
      <c r="U10" s="23">
        <v>14.984299999999999</v>
      </c>
      <c r="V10" s="23">
        <f>U10</f>
        <v>14.984299999999999</v>
      </c>
      <c r="W10" s="25">
        <v>14.984299999999999</v>
      </c>
      <c r="X10" s="25">
        <f t="shared" si="6"/>
        <v>14.984299999999999</v>
      </c>
      <c r="Y10" s="23">
        <f t="shared" si="7"/>
        <v>17152.977738999998</v>
      </c>
      <c r="Z10" s="23">
        <f t="shared" si="8"/>
        <v>18252.975202000001</v>
      </c>
      <c r="AA10" s="24"/>
      <c r="AB10" s="24"/>
      <c r="AC10" s="24"/>
      <c r="AD10" s="23">
        <f>Q10*1.09799999*X10</f>
        <v>18833.969385892222</v>
      </c>
      <c r="AE10" s="23">
        <f t="shared" si="9"/>
        <v>580.99418389222046</v>
      </c>
      <c r="AF10" s="15" t="s">
        <v>41</v>
      </c>
      <c r="AG10" s="15"/>
      <c r="AH10" s="29"/>
      <c r="AI10" s="29" t="s">
        <v>111</v>
      </c>
      <c r="AJ10" s="29">
        <v>7757.9070000000002</v>
      </c>
      <c r="AK10" s="29"/>
      <c r="AL10" s="29"/>
      <c r="AM10" s="29"/>
      <c r="AN10" s="29">
        <f t="shared" si="10"/>
        <v>17152.977738999998</v>
      </c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</row>
    <row r="11" spans="1:107" s="32" customFormat="1" ht="19.149999999999999" customHeight="1" x14ac:dyDescent="0.25">
      <c r="A11" s="15">
        <v>3</v>
      </c>
      <c r="B11" s="12" t="s">
        <v>24</v>
      </c>
      <c r="C11" s="12" t="s">
        <v>143</v>
      </c>
      <c r="D11" s="15">
        <v>1022.54</v>
      </c>
      <c r="E11" s="23">
        <v>1169.79</v>
      </c>
      <c r="F11" s="23">
        <f t="shared" si="0"/>
        <v>114.40041465370547</v>
      </c>
      <c r="G11" s="23">
        <v>1169.79</v>
      </c>
      <c r="H11" s="23">
        <v>1239.98</v>
      </c>
      <c r="I11" s="23">
        <v>1308.99</v>
      </c>
      <c r="J11" s="23">
        <f t="shared" si="1"/>
        <v>100</v>
      </c>
      <c r="K11" s="23">
        <f t="shared" si="2"/>
        <v>106.00022226211543</v>
      </c>
      <c r="L11" s="23">
        <f t="shared" si="3"/>
        <v>111.89957171800067</v>
      </c>
      <c r="M11" s="24">
        <v>1308.99</v>
      </c>
      <c r="N11" s="23">
        <f t="shared" si="11"/>
        <v>100</v>
      </c>
      <c r="O11" s="24">
        <v>1295</v>
      </c>
      <c r="P11" s="23">
        <f t="shared" si="4"/>
        <v>98.93123706063453</v>
      </c>
      <c r="Q11" s="24">
        <v>1295</v>
      </c>
      <c r="R11" s="24">
        <f t="shared" si="5"/>
        <v>100</v>
      </c>
      <c r="S11" s="24">
        <v>1421.91</v>
      </c>
      <c r="T11" s="24">
        <f t="shared" ref="T11:T98" si="12">S11/Q11*100</f>
        <v>109.80000000000001</v>
      </c>
      <c r="U11" s="23">
        <f>[1]смета!$S$297/1000</f>
        <v>3.9460000000000002</v>
      </c>
      <c r="V11" s="23">
        <f>U11</f>
        <v>3.9460000000000002</v>
      </c>
      <c r="W11" s="25">
        <f>V11</f>
        <v>3.9460000000000002</v>
      </c>
      <c r="X11" s="25">
        <f t="shared" si="6"/>
        <v>3.9460000000000002</v>
      </c>
      <c r="Y11" s="23">
        <f t="shared" si="7"/>
        <v>5110.0700000000006</v>
      </c>
      <c r="Z11" s="23">
        <f t="shared" si="8"/>
        <v>5610.8568600000008</v>
      </c>
      <c r="AA11" s="30"/>
      <c r="AB11" s="30"/>
      <c r="AC11" s="30"/>
      <c r="AD11" s="23">
        <f>Q11*1.09799999*X11</f>
        <v>5610.8568088992997</v>
      </c>
      <c r="AE11" s="23">
        <f t="shared" si="9"/>
        <v>-5.1100701057293918E-5</v>
      </c>
      <c r="AF11" s="15" t="s">
        <v>38</v>
      </c>
      <c r="AG11" s="15"/>
      <c r="AH11" s="31"/>
      <c r="AI11" s="31" t="s">
        <v>136</v>
      </c>
      <c r="AJ11" s="31">
        <v>2.827</v>
      </c>
      <c r="AK11" s="31"/>
      <c r="AL11" s="31">
        <f>Y11*1.18</f>
        <v>6029.8826000000008</v>
      </c>
      <c r="AM11" s="31">
        <f>Z11*1.18</f>
        <v>6620.8110948000003</v>
      </c>
      <c r="AN11" s="31">
        <f t="shared" si="10"/>
        <v>5110.0700000000006</v>
      </c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</row>
    <row r="12" spans="1:107" s="32" customFormat="1" ht="19.149999999999999" customHeight="1" x14ac:dyDescent="0.25">
      <c r="A12" s="15">
        <v>4</v>
      </c>
      <c r="B12" s="12" t="s">
        <v>24</v>
      </c>
      <c r="C12" s="64" t="s">
        <v>240</v>
      </c>
      <c r="D12" s="15">
        <v>834.8</v>
      </c>
      <c r="E12" s="23">
        <v>865.3</v>
      </c>
      <c r="F12" s="23">
        <f t="shared" si="0"/>
        <v>103.65356971729756</v>
      </c>
      <c r="G12" s="23">
        <v>865.3</v>
      </c>
      <c r="H12" s="23">
        <v>917.22</v>
      </c>
      <c r="I12" s="23">
        <v>968.27</v>
      </c>
      <c r="J12" s="23">
        <f t="shared" si="1"/>
        <v>100</v>
      </c>
      <c r="K12" s="23">
        <f t="shared" si="2"/>
        <v>106.00023113371087</v>
      </c>
      <c r="L12" s="23">
        <f t="shared" si="3"/>
        <v>111.8999191032012</v>
      </c>
      <c r="M12" s="33">
        <v>1094.1400000000001</v>
      </c>
      <c r="N12" s="23">
        <f t="shared" si="11"/>
        <v>112.99947328740951</v>
      </c>
      <c r="O12" s="33">
        <v>980.09</v>
      </c>
      <c r="P12" s="23">
        <f t="shared" si="4"/>
        <v>89.576288226369556</v>
      </c>
      <c r="Q12" s="24">
        <v>980.09</v>
      </c>
      <c r="R12" s="24">
        <f t="shared" si="5"/>
        <v>100</v>
      </c>
      <c r="S12" s="24">
        <v>1045.6400000000001</v>
      </c>
      <c r="T12" s="24">
        <f t="shared" si="12"/>
        <v>106.68816129130998</v>
      </c>
      <c r="U12" s="23">
        <f>[2]Лист1!$AH$27/1000</f>
        <v>2.4296391091798308</v>
      </c>
      <c r="V12" s="23">
        <f>U12</f>
        <v>2.4296391091798308</v>
      </c>
      <c r="W12" s="25">
        <f>V12</f>
        <v>2.4296391091798308</v>
      </c>
      <c r="X12" s="25">
        <f t="shared" si="6"/>
        <v>2.4296391091798308</v>
      </c>
      <c r="Y12" s="23">
        <f t="shared" si="7"/>
        <v>2381.2649945160606</v>
      </c>
      <c r="Z12" s="23">
        <f t="shared" si="8"/>
        <v>2540.5278381227986</v>
      </c>
      <c r="AA12" s="24"/>
      <c r="AB12" s="24"/>
      <c r="AC12" s="24"/>
      <c r="AD12" s="23">
        <f>Q12*1.09799999*X12</f>
        <v>2614.6289401659842</v>
      </c>
      <c r="AE12" s="23">
        <f t="shared" si="9"/>
        <v>74.10110204318562</v>
      </c>
      <c r="AF12" s="15" t="s">
        <v>17</v>
      </c>
      <c r="AG12" s="15"/>
      <c r="AH12" s="31"/>
      <c r="AI12" s="31" t="s">
        <v>109</v>
      </c>
      <c r="AJ12" s="31">
        <v>0.28000000000000003</v>
      </c>
      <c r="AK12" s="31"/>
      <c r="AL12" s="31"/>
      <c r="AM12" s="31"/>
      <c r="AN12" s="31">
        <f t="shared" si="10"/>
        <v>2381.2649945160606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</row>
    <row r="13" spans="1:107" s="28" customFormat="1" ht="19.149999999999999" customHeight="1" x14ac:dyDescent="0.25">
      <c r="A13" s="15">
        <v>5</v>
      </c>
      <c r="B13" s="12" t="s">
        <v>24</v>
      </c>
      <c r="C13" s="12" t="s">
        <v>1</v>
      </c>
      <c r="D13" s="15">
        <v>810.5</v>
      </c>
      <c r="E13" s="15">
        <v>927.03</v>
      </c>
      <c r="F13" s="23">
        <f t="shared" si="0"/>
        <v>114.3775447254781</v>
      </c>
      <c r="G13" s="23">
        <v>927.03</v>
      </c>
      <c r="H13" s="23">
        <v>982.64</v>
      </c>
      <c r="I13" s="23">
        <v>1037.3399999999999</v>
      </c>
      <c r="J13" s="23">
        <f t="shared" si="1"/>
        <v>100</v>
      </c>
      <c r="K13" s="23">
        <f t="shared" si="2"/>
        <v>105.99872711778475</v>
      </c>
      <c r="L13" s="23">
        <f t="shared" si="3"/>
        <v>111.89929128507168</v>
      </c>
      <c r="M13" s="33">
        <v>1192.94</v>
      </c>
      <c r="N13" s="23">
        <f t="shared" si="11"/>
        <v>114.99990359959126</v>
      </c>
      <c r="O13" s="33">
        <v>1251.3900000000001</v>
      </c>
      <c r="P13" s="23">
        <f t="shared" si="4"/>
        <v>104.89965966435865</v>
      </c>
      <c r="Q13" s="24">
        <v>1251.3900000000001</v>
      </c>
      <c r="R13" s="24">
        <f t="shared" si="5"/>
        <v>100</v>
      </c>
      <c r="S13" s="24">
        <v>1374.02</v>
      </c>
      <c r="T13" s="24">
        <f t="shared" si="12"/>
        <v>109.79950295271657</v>
      </c>
      <c r="U13" s="23">
        <v>136.238</v>
      </c>
      <c r="V13" s="23">
        <f>U13</f>
        <v>136.238</v>
      </c>
      <c r="W13" s="25">
        <v>136.238</v>
      </c>
      <c r="X13" s="25">
        <f t="shared" si="6"/>
        <v>136.238</v>
      </c>
      <c r="Y13" s="23">
        <f t="shared" si="7"/>
        <v>170486.87082000001</v>
      </c>
      <c r="Z13" s="23">
        <f t="shared" si="8"/>
        <v>187193.73676</v>
      </c>
      <c r="AA13" s="24"/>
      <c r="AB13" s="24"/>
      <c r="AC13" s="24"/>
      <c r="AD13" s="23">
        <f>Q13*1.0979999999*X13</f>
        <v>187194.58414331134</v>
      </c>
      <c r="AE13" s="23">
        <f t="shared" si="9"/>
        <v>0.84738331133848988</v>
      </c>
      <c r="AF13" s="15" t="s">
        <v>17</v>
      </c>
      <c r="AG13" s="15"/>
      <c r="AH13" s="29"/>
      <c r="AI13" s="29" t="s">
        <v>107</v>
      </c>
      <c r="AJ13" s="29">
        <v>136.12100000000001</v>
      </c>
      <c r="AK13" s="29"/>
      <c r="AL13" s="29">
        <f>Y13*1.18</f>
        <v>201174.5075676</v>
      </c>
      <c r="AM13" s="29">
        <f>Z13*1.18</f>
        <v>220888.60937679998</v>
      </c>
      <c r="AN13" s="29">
        <f t="shared" si="10"/>
        <v>170486.87082000001</v>
      </c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</row>
    <row r="14" spans="1:107" s="35" customFormat="1" ht="19.149999999999999" customHeight="1" x14ac:dyDescent="0.25">
      <c r="A14" s="15">
        <v>6</v>
      </c>
      <c r="B14" s="12" t="s">
        <v>24</v>
      </c>
      <c r="C14" s="12" t="s">
        <v>6</v>
      </c>
      <c r="D14" s="15">
        <v>912.98</v>
      </c>
      <c r="E14" s="15">
        <v>1044.3399999999999</v>
      </c>
      <c r="F14" s="23">
        <f t="shared" si="0"/>
        <v>114.38804793095139</v>
      </c>
      <c r="G14" s="23">
        <v>1044.3399999999999</v>
      </c>
      <c r="H14" s="23">
        <v>1107</v>
      </c>
      <c r="I14" s="23">
        <v>1168.6099999999999</v>
      </c>
      <c r="J14" s="23">
        <f t="shared" si="1"/>
        <v>100</v>
      </c>
      <c r="K14" s="23">
        <f t="shared" si="2"/>
        <v>105.99996169829751</v>
      </c>
      <c r="L14" s="23">
        <f t="shared" si="3"/>
        <v>111.89938142750444</v>
      </c>
      <c r="M14" s="24">
        <v>1343.96</v>
      </c>
      <c r="N14" s="23">
        <f t="shared" si="11"/>
        <v>115.00500594723648</v>
      </c>
      <c r="O14" s="24">
        <v>1423.09</v>
      </c>
      <c r="P14" s="23">
        <f t="shared" si="4"/>
        <v>105.88782404238219</v>
      </c>
      <c r="Q14" s="24">
        <v>1423.09</v>
      </c>
      <c r="R14" s="24">
        <f t="shared" si="5"/>
        <v>100</v>
      </c>
      <c r="S14" s="24">
        <v>1562.24</v>
      </c>
      <c r="T14" s="24">
        <f t="shared" si="12"/>
        <v>109.77801825604847</v>
      </c>
      <c r="U14" s="23">
        <f>1.546</f>
        <v>1.546</v>
      </c>
      <c r="V14" s="23">
        <f t="shared" ref="V14:V44" si="13">U14</f>
        <v>1.546</v>
      </c>
      <c r="W14" s="25">
        <f>1.5883-0.1201</f>
        <v>1.4681999999999999</v>
      </c>
      <c r="X14" s="25">
        <f t="shared" si="6"/>
        <v>1.4681999999999999</v>
      </c>
      <c r="Y14" s="23">
        <f t="shared" si="7"/>
        <v>2089.3807379999998</v>
      </c>
      <c r="Z14" s="23">
        <f t="shared" si="8"/>
        <v>2293.6807679999997</v>
      </c>
      <c r="AA14" s="24"/>
      <c r="AB14" s="24"/>
      <c r="AC14" s="24"/>
      <c r="AD14" s="23">
        <f>Q14*1.0979999*X14</f>
        <v>2294.139841385926</v>
      </c>
      <c r="AE14" s="23">
        <f t="shared" si="9"/>
        <v>0.45907338592633096</v>
      </c>
      <c r="AF14" s="15" t="s">
        <v>18</v>
      </c>
      <c r="AG14" s="15"/>
      <c r="AH14" s="34"/>
      <c r="AI14" s="34" t="s">
        <v>111</v>
      </c>
      <c r="AJ14" s="34">
        <v>1.6359999999999999</v>
      </c>
      <c r="AK14" s="34"/>
      <c r="AL14" s="34"/>
      <c r="AM14" s="34"/>
      <c r="AN14" s="34">
        <f t="shared" si="10"/>
        <v>2200.0971399999999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</row>
    <row r="15" spans="1:107" s="37" customFormat="1" ht="19.149999999999999" customHeight="1" x14ac:dyDescent="0.25">
      <c r="A15" s="15">
        <v>7</v>
      </c>
      <c r="B15" s="12" t="s">
        <v>24</v>
      </c>
      <c r="C15" s="12" t="s">
        <v>10</v>
      </c>
      <c r="D15" s="15">
        <v>540.64</v>
      </c>
      <c r="E15" s="15">
        <v>618.49</v>
      </c>
      <c r="F15" s="23">
        <f t="shared" si="0"/>
        <v>114.39960047351288</v>
      </c>
      <c r="G15" s="23">
        <v>618.49</v>
      </c>
      <c r="H15" s="23">
        <v>655.58</v>
      </c>
      <c r="I15" s="23">
        <v>692.09</v>
      </c>
      <c r="J15" s="23">
        <f t="shared" si="1"/>
        <v>100</v>
      </c>
      <c r="K15" s="23">
        <f t="shared" si="2"/>
        <v>105.99686332842893</v>
      </c>
      <c r="L15" s="23">
        <f t="shared" si="3"/>
        <v>111.89994987792851</v>
      </c>
      <c r="M15" s="33">
        <v>797.27</v>
      </c>
      <c r="N15" s="23">
        <f t="shared" si="11"/>
        <v>115.19744541894839</v>
      </c>
      <c r="O15" s="33">
        <v>844.3</v>
      </c>
      <c r="P15" s="23">
        <f t="shared" si="4"/>
        <v>105.89887992775347</v>
      </c>
      <c r="Q15" s="24">
        <v>844.3</v>
      </c>
      <c r="R15" s="24">
        <f t="shared" si="5"/>
        <v>100</v>
      </c>
      <c r="S15" s="24">
        <v>927.04</v>
      </c>
      <c r="T15" s="24">
        <f t="shared" si="12"/>
        <v>109.79983418216275</v>
      </c>
      <c r="U15" s="23">
        <v>11.355</v>
      </c>
      <c r="V15" s="23">
        <f t="shared" si="13"/>
        <v>11.355</v>
      </c>
      <c r="W15" s="25">
        <f>U15</f>
        <v>11.355</v>
      </c>
      <c r="X15" s="25">
        <f t="shared" si="6"/>
        <v>11.355</v>
      </c>
      <c r="Y15" s="23">
        <f t="shared" si="7"/>
        <v>9587.0264999999999</v>
      </c>
      <c r="Z15" s="23">
        <f t="shared" si="8"/>
        <v>10526.539199999999</v>
      </c>
      <c r="AA15" s="24"/>
      <c r="AB15" s="24"/>
      <c r="AC15" s="24"/>
      <c r="AD15" s="23">
        <f>Q15*1.0979999*X15</f>
        <v>10526.55413829735</v>
      </c>
      <c r="AE15" s="23">
        <f t="shared" si="9"/>
        <v>1.4938297350454377E-2</v>
      </c>
      <c r="AF15" s="15" t="s">
        <v>17</v>
      </c>
      <c r="AG15" s="15"/>
      <c r="AH15" s="36"/>
      <c r="AI15" s="36" t="s">
        <v>109</v>
      </c>
      <c r="AJ15" s="36">
        <v>10.516999999999999</v>
      </c>
      <c r="AK15" s="36"/>
      <c r="AL15" s="36">
        <f t="shared" ref="AL15:AM20" si="14">Y15*1.18</f>
        <v>11312.691269999999</v>
      </c>
      <c r="AM15" s="36">
        <f t="shared" si="14"/>
        <v>12421.316255999998</v>
      </c>
      <c r="AN15" s="36">
        <f t="shared" si="10"/>
        <v>9587.0264999999999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</row>
    <row r="16" spans="1:107" s="35" customFormat="1" ht="19.149999999999999" customHeight="1" x14ac:dyDescent="0.25">
      <c r="A16" s="15">
        <v>8</v>
      </c>
      <c r="B16" s="12" t="s">
        <v>24</v>
      </c>
      <c r="C16" s="12" t="s">
        <v>12</v>
      </c>
      <c r="D16" s="15">
        <f>790.9*1.18</f>
        <v>933.26199999999994</v>
      </c>
      <c r="E16" s="15">
        <v>1067.3699999999999</v>
      </c>
      <c r="F16" s="23">
        <f t="shared" si="0"/>
        <v>114.36981254995916</v>
      </c>
      <c r="G16" s="23">
        <v>1067.3699999999999</v>
      </c>
      <c r="H16" s="23">
        <v>1131.4100000000001</v>
      </c>
      <c r="I16" s="23">
        <v>1194.3800000000001</v>
      </c>
      <c r="J16" s="23">
        <f t="shared" si="1"/>
        <v>100</v>
      </c>
      <c r="K16" s="23">
        <f t="shared" si="2"/>
        <v>105.9997938859065</v>
      </c>
      <c r="L16" s="23">
        <f t="shared" si="3"/>
        <v>111.89934137178301</v>
      </c>
      <c r="M16" s="33">
        <v>1373.47</v>
      </c>
      <c r="N16" s="23">
        <f t="shared" si="11"/>
        <v>114.99439039501664</v>
      </c>
      <c r="O16" s="33">
        <v>1232.46</v>
      </c>
      <c r="P16" s="23">
        <f t="shared" si="4"/>
        <v>89.733303239240755</v>
      </c>
      <c r="Q16" s="24">
        <v>1232.46</v>
      </c>
      <c r="R16" s="24">
        <f t="shared" si="5"/>
        <v>100</v>
      </c>
      <c r="S16" s="24">
        <v>1352.74</v>
      </c>
      <c r="T16" s="24">
        <f t="shared" si="12"/>
        <v>109.75934310241307</v>
      </c>
      <c r="U16" s="23">
        <v>8.0091000000000001</v>
      </c>
      <c r="V16" s="23">
        <f t="shared" si="13"/>
        <v>8.0091000000000001</v>
      </c>
      <c r="W16" s="25">
        <f>V16-0.1473</f>
        <v>7.8618000000000006</v>
      </c>
      <c r="X16" s="25">
        <f t="shared" si="6"/>
        <v>7.8618000000000006</v>
      </c>
      <c r="Y16" s="23">
        <f t="shared" si="7"/>
        <v>9689.3540280000016</v>
      </c>
      <c r="Z16" s="23">
        <f t="shared" si="8"/>
        <v>10634.971332000001</v>
      </c>
      <c r="AA16" s="24"/>
      <c r="AB16" s="24"/>
      <c r="AC16" s="24"/>
      <c r="AD16" s="23">
        <f>Q16*1.0979999*X16</f>
        <v>10638.909753808599</v>
      </c>
      <c r="AE16" s="23">
        <f t="shared" si="9"/>
        <v>3.9384218085979228</v>
      </c>
      <c r="AF16" s="15" t="s">
        <v>17</v>
      </c>
      <c r="AG16" s="15"/>
      <c r="AH16" s="34"/>
      <c r="AI16" s="34" t="s">
        <v>107</v>
      </c>
      <c r="AJ16" s="34">
        <v>5.8890000000000002</v>
      </c>
      <c r="AK16" s="34"/>
      <c r="AL16" s="34">
        <f t="shared" si="14"/>
        <v>11433.437753040002</v>
      </c>
      <c r="AM16" s="34">
        <f t="shared" si="14"/>
        <v>12549.26617176</v>
      </c>
      <c r="AN16" s="34">
        <f t="shared" si="10"/>
        <v>9870.8953860000001</v>
      </c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</row>
    <row r="17" spans="1:107" s="40" customFormat="1" ht="19.149999999999999" customHeight="1" x14ac:dyDescent="0.25">
      <c r="A17" s="15">
        <v>9</v>
      </c>
      <c r="B17" s="12" t="s">
        <v>24</v>
      </c>
      <c r="C17" s="12" t="s">
        <v>9</v>
      </c>
      <c r="D17" s="15">
        <v>732.69</v>
      </c>
      <c r="E17" s="15">
        <v>838.19</v>
      </c>
      <c r="F17" s="23">
        <f t="shared" si="0"/>
        <v>114.39899548240047</v>
      </c>
      <c r="G17" s="23">
        <v>838.19</v>
      </c>
      <c r="H17" s="23">
        <v>888.48</v>
      </c>
      <c r="I17" s="23">
        <v>937.93</v>
      </c>
      <c r="J17" s="23">
        <f t="shared" si="1"/>
        <v>100</v>
      </c>
      <c r="K17" s="23">
        <f t="shared" si="2"/>
        <v>105.99983297343083</v>
      </c>
      <c r="L17" s="23">
        <f t="shared" si="3"/>
        <v>111.89945000536869</v>
      </c>
      <c r="M17" s="23">
        <v>1080.49</v>
      </c>
      <c r="N17" s="23">
        <f t="shared" si="11"/>
        <v>115.19942852878147</v>
      </c>
      <c r="O17" s="23">
        <v>1144.23</v>
      </c>
      <c r="P17" s="23">
        <f t="shared" si="4"/>
        <v>105.89917537413581</v>
      </c>
      <c r="Q17" s="23">
        <v>1144.23</v>
      </c>
      <c r="R17" s="24">
        <f t="shared" si="5"/>
        <v>100</v>
      </c>
      <c r="S17" s="23">
        <v>1256.3599999999999</v>
      </c>
      <c r="T17" s="24">
        <f t="shared" si="12"/>
        <v>109.79960322662401</v>
      </c>
      <c r="U17" s="23">
        <v>1853.89</v>
      </c>
      <c r="V17" s="23">
        <f t="shared" si="13"/>
        <v>1853.89</v>
      </c>
      <c r="W17" s="25">
        <v>1853.89</v>
      </c>
      <c r="X17" s="25">
        <f t="shared" si="6"/>
        <v>1853.89</v>
      </c>
      <c r="Y17" s="23">
        <f t="shared" si="7"/>
        <v>2121276.5547000002</v>
      </c>
      <c r="Z17" s="23">
        <f t="shared" si="8"/>
        <v>2329153.2404</v>
      </c>
      <c r="AA17" s="23"/>
      <c r="AB17" s="23"/>
      <c r="AC17" s="23"/>
      <c r="AD17" s="23">
        <f>Q17*1.0979999*X17</f>
        <v>2329161.4449329446</v>
      </c>
      <c r="AE17" s="23">
        <f t="shared" si="9"/>
        <v>8.2045329445973039</v>
      </c>
      <c r="AF17" s="15" t="s">
        <v>17</v>
      </c>
      <c r="AG17" s="38"/>
      <c r="AH17" s="39"/>
      <c r="AI17" s="39" t="s">
        <v>110</v>
      </c>
      <c r="AJ17" s="39">
        <v>1748.0309999999999</v>
      </c>
      <c r="AK17" s="39"/>
      <c r="AL17" s="39">
        <f t="shared" si="14"/>
        <v>2503106.3345460002</v>
      </c>
      <c r="AM17" s="39">
        <f t="shared" si="14"/>
        <v>2748400.8236719999</v>
      </c>
      <c r="AN17" s="39">
        <f t="shared" si="10"/>
        <v>2121276.5547000002</v>
      </c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</row>
    <row r="18" spans="1:107" s="32" customFormat="1" ht="19.149999999999999" customHeight="1" x14ac:dyDescent="0.25">
      <c r="A18" s="15">
        <v>10</v>
      </c>
      <c r="B18" s="12" t="s">
        <v>24</v>
      </c>
      <c r="C18" s="12" t="s">
        <v>13</v>
      </c>
      <c r="D18" s="15">
        <v>778.71</v>
      </c>
      <c r="E18" s="15">
        <v>890.84</v>
      </c>
      <c r="F18" s="15">
        <v>890.84</v>
      </c>
      <c r="G18" s="15">
        <v>890.84</v>
      </c>
      <c r="H18" s="23">
        <v>944.3</v>
      </c>
      <c r="I18" s="23">
        <v>996.84</v>
      </c>
      <c r="J18" s="23">
        <f t="shared" si="1"/>
        <v>100</v>
      </c>
      <c r="K18" s="23">
        <f t="shared" si="2"/>
        <v>106.00107763459205</v>
      </c>
      <c r="L18" s="23">
        <f t="shared" si="3"/>
        <v>111.89888195411073</v>
      </c>
      <c r="M18" s="33">
        <v>1146.3699999999999</v>
      </c>
      <c r="N18" s="23">
        <f t="shared" si="11"/>
        <v>115.00040126800688</v>
      </c>
      <c r="O18" s="33">
        <v>1203.68</v>
      </c>
      <c r="P18" s="23">
        <f t="shared" si="4"/>
        <v>104.9992585290962</v>
      </c>
      <c r="Q18" s="24">
        <v>1203.68</v>
      </c>
      <c r="R18" s="24">
        <f t="shared" si="5"/>
        <v>100</v>
      </c>
      <c r="S18" s="24">
        <v>1282.71</v>
      </c>
      <c r="T18" s="24">
        <f t="shared" si="12"/>
        <v>106.56569852452481</v>
      </c>
      <c r="U18" s="23">
        <f>[3]Лист2!$AW$27/1000</f>
        <v>2.4649999999999999</v>
      </c>
      <c r="V18" s="23">
        <f t="shared" si="13"/>
        <v>2.4649999999999999</v>
      </c>
      <c r="W18" s="25">
        <f>2.465-1.789</f>
        <v>0.67599999999999993</v>
      </c>
      <c r="X18" s="25">
        <f t="shared" si="6"/>
        <v>0.67599999999999993</v>
      </c>
      <c r="Y18" s="23">
        <f t="shared" si="7"/>
        <v>813.68768</v>
      </c>
      <c r="Z18" s="23">
        <f t="shared" si="8"/>
        <v>867.11195999999995</v>
      </c>
      <c r="AA18" s="24"/>
      <c r="AB18" s="24"/>
      <c r="AC18" s="24"/>
      <c r="AD18" s="23">
        <f>Q18*1.09799999*X18</f>
        <v>893.42906450312307</v>
      </c>
      <c r="AE18" s="23">
        <f t="shared" si="9"/>
        <v>26.317104503123119</v>
      </c>
      <c r="AF18" s="15" t="s">
        <v>17</v>
      </c>
      <c r="AG18" s="38"/>
      <c r="AH18" s="31"/>
      <c r="AI18" s="31" t="s">
        <v>109</v>
      </c>
      <c r="AJ18" s="31">
        <v>3.9820000000000002</v>
      </c>
      <c r="AK18" s="31"/>
      <c r="AL18" s="31">
        <f t="shared" si="14"/>
        <v>960.1514623999999</v>
      </c>
      <c r="AM18" s="31">
        <f t="shared" si="14"/>
        <v>1023.1921127999999</v>
      </c>
      <c r="AN18" s="31">
        <f t="shared" si="10"/>
        <v>2967.0711999999999</v>
      </c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</row>
    <row r="19" spans="1:107" s="37" customFormat="1" ht="19.149999999999999" customHeight="1" x14ac:dyDescent="0.25">
      <c r="A19" s="15">
        <v>11</v>
      </c>
      <c r="B19" s="12" t="s">
        <v>24</v>
      </c>
      <c r="C19" s="12" t="s">
        <v>16</v>
      </c>
      <c r="D19" s="15">
        <v>842.49</v>
      </c>
      <c r="E19" s="23">
        <f>D19*1.143889</f>
        <v>963.71504360999995</v>
      </c>
      <c r="F19" s="23">
        <f>E19/D19*100</f>
        <v>114.38889999999999</v>
      </c>
      <c r="G19" s="23">
        <v>963.72</v>
      </c>
      <c r="H19" s="23">
        <v>1021.54</v>
      </c>
      <c r="I19" s="23">
        <v>1078.4000000000001</v>
      </c>
      <c r="J19" s="23">
        <f t="shared" si="1"/>
        <v>100.00051430036638</v>
      </c>
      <c r="K19" s="23">
        <f t="shared" si="2"/>
        <v>106.00021311002807</v>
      </c>
      <c r="L19" s="23">
        <f t="shared" si="3"/>
        <v>111.90029741160825</v>
      </c>
      <c r="M19" s="24">
        <v>1272.51</v>
      </c>
      <c r="N19" s="23">
        <f t="shared" si="11"/>
        <v>117.99981454005935</v>
      </c>
      <c r="O19" s="24">
        <v>1313.2</v>
      </c>
      <c r="P19" s="23">
        <f t="shared" si="4"/>
        <v>103.19761730752607</v>
      </c>
      <c r="Q19" s="24">
        <v>1313.2</v>
      </c>
      <c r="R19" s="24">
        <f t="shared" si="5"/>
        <v>100</v>
      </c>
      <c r="S19" s="24">
        <v>1441.89</v>
      </c>
      <c r="T19" s="24">
        <f t="shared" si="12"/>
        <v>109.79972586049345</v>
      </c>
      <c r="U19" s="23">
        <f>(4267)/1000</f>
        <v>4.2670000000000003</v>
      </c>
      <c r="V19" s="23">
        <f t="shared" si="13"/>
        <v>4.2670000000000003</v>
      </c>
      <c r="W19" s="25">
        <f>4.267-2.488</f>
        <v>1.7790000000000004</v>
      </c>
      <c r="X19" s="25">
        <f t="shared" si="6"/>
        <v>1.7790000000000004</v>
      </c>
      <c r="Y19" s="23">
        <f t="shared" si="7"/>
        <v>2336.1828000000005</v>
      </c>
      <c r="Z19" s="23">
        <f t="shared" si="8"/>
        <v>2565.1223100000007</v>
      </c>
      <c r="AA19" s="24"/>
      <c r="AB19" s="24"/>
      <c r="AC19" s="24"/>
      <c r="AD19" s="23">
        <f>Q19*1.09799999*X19</f>
        <v>2565.1286910381727</v>
      </c>
      <c r="AE19" s="23">
        <f t="shared" si="9"/>
        <v>6.3810381720941223E-3</v>
      </c>
      <c r="AF19" s="15" t="s">
        <v>17</v>
      </c>
      <c r="AG19" s="38"/>
      <c r="AH19" s="36"/>
      <c r="AI19" s="36" t="s">
        <v>111</v>
      </c>
      <c r="AJ19" s="36">
        <v>4.6029999999999998</v>
      </c>
      <c r="AK19" s="36"/>
      <c r="AL19" s="36">
        <f t="shared" si="14"/>
        <v>2756.6957040000007</v>
      </c>
      <c r="AM19" s="36">
        <f t="shared" si="14"/>
        <v>3026.8443258000007</v>
      </c>
      <c r="AN19" s="36">
        <f t="shared" si="10"/>
        <v>5603.4244000000008</v>
      </c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</row>
    <row r="20" spans="1:107" s="32" customFormat="1" ht="19.149999999999999" customHeight="1" x14ac:dyDescent="0.25">
      <c r="A20" s="15">
        <v>12</v>
      </c>
      <c r="B20" s="12" t="s">
        <v>24</v>
      </c>
      <c r="C20" s="12" t="s">
        <v>236</v>
      </c>
      <c r="D20" s="15">
        <v>292.58</v>
      </c>
      <c r="E20" s="23">
        <v>334.71</v>
      </c>
      <c r="F20" s="23">
        <f>E20/D20*100</f>
        <v>114.39948048397019</v>
      </c>
      <c r="G20" s="23">
        <v>334.71</v>
      </c>
      <c r="H20" s="23">
        <v>354.79</v>
      </c>
      <c r="I20" s="23">
        <v>374.54</v>
      </c>
      <c r="J20" s="23">
        <f t="shared" si="1"/>
        <v>100</v>
      </c>
      <c r="K20" s="23">
        <f t="shared" si="2"/>
        <v>105.99922320815037</v>
      </c>
      <c r="L20" s="23">
        <f t="shared" si="3"/>
        <v>111.89985360461296</v>
      </c>
      <c r="M20" s="33">
        <v>431.47</v>
      </c>
      <c r="N20" s="23">
        <f t="shared" si="11"/>
        <v>115.19997864046563</v>
      </c>
      <c r="O20" s="33">
        <v>456.92</v>
      </c>
      <c r="P20" s="23">
        <f t="shared" si="4"/>
        <v>105.89844021600574</v>
      </c>
      <c r="Q20" s="24">
        <v>456.92</v>
      </c>
      <c r="R20" s="24">
        <f t="shared" si="5"/>
        <v>100</v>
      </c>
      <c r="S20" s="24">
        <v>501.69</v>
      </c>
      <c r="T20" s="24">
        <f t="shared" si="12"/>
        <v>109.79821412938809</v>
      </c>
      <c r="U20" s="23">
        <f>'[4]д.б. для шаблона'!$Z$34/1000</f>
        <v>6.3426</v>
      </c>
      <c r="V20" s="23">
        <f t="shared" si="13"/>
        <v>6.3426</v>
      </c>
      <c r="W20" s="25">
        <f>6.3426-4.1065</f>
        <v>2.2361000000000004</v>
      </c>
      <c r="X20" s="25">
        <f t="shared" si="6"/>
        <v>2.2361000000000004</v>
      </c>
      <c r="Y20" s="23">
        <f t="shared" si="7"/>
        <v>1021.7188120000002</v>
      </c>
      <c r="Z20" s="23">
        <f t="shared" si="8"/>
        <v>1121.8290090000003</v>
      </c>
      <c r="AA20" s="24"/>
      <c r="AB20" s="24"/>
      <c r="AC20" s="24"/>
      <c r="AD20" s="23">
        <f>Q20*1.097999999*X20</f>
        <v>1121.8472545542813</v>
      </c>
      <c r="AE20" s="23">
        <f t="shared" si="9"/>
        <v>1.8245554281065779E-2</v>
      </c>
      <c r="AF20" s="15" t="s">
        <v>38</v>
      </c>
      <c r="AG20" s="38"/>
      <c r="AH20" s="31"/>
      <c r="AI20" s="31" t="s">
        <v>109</v>
      </c>
      <c r="AJ20" s="31">
        <v>1.8540000000000001</v>
      </c>
      <c r="AK20" s="31"/>
      <c r="AL20" s="31">
        <f t="shared" si="14"/>
        <v>1205.6281981600002</v>
      </c>
      <c r="AM20" s="31">
        <f t="shared" si="14"/>
        <v>1323.7582306200002</v>
      </c>
      <c r="AN20" s="31">
        <f t="shared" si="10"/>
        <v>2898.0607920000002</v>
      </c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</row>
    <row r="21" spans="1:107" s="35" customFormat="1" ht="19.149999999999999" customHeight="1" x14ac:dyDescent="0.25">
      <c r="A21" s="15">
        <v>13</v>
      </c>
      <c r="B21" s="12" t="s">
        <v>24</v>
      </c>
      <c r="C21" s="12" t="s">
        <v>39</v>
      </c>
      <c r="D21" s="15">
        <v>838.61</v>
      </c>
      <c r="E21" s="23">
        <v>959.36</v>
      </c>
      <c r="F21" s="23">
        <f>E21/D21*100</f>
        <v>114.39882662978023</v>
      </c>
      <c r="G21" s="23">
        <v>959.36</v>
      </c>
      <c r="H21" s="23">
        <v>1016.92</v>
      </c>
      <c r="I21" s="23">
        <v>1073.52</v>
      </c>
      <c r="J21" s="23">
        <f t="shared" si="1"/>
        <v>100</v>
      </c>
      <c r="K21" s="23">
        <f t="shared" si="2"/>
        <v>105.9998332221481</v>
      </c>
      <c r="L21" s="23">
        <f t="shared" si="3"/>
        <v>111.89959973315544</v>
      </c>
      <c r="M21" s="23">
        <v>1194.4100000000001</v>
      </c>
      <c r="N21" s="23">
        <f t="shared" si="11"/>
        <v>111.26108502869067</v>
      </c>
      <c r="O21" s="23">
        <v>1209.48</v>
      </c>
      <c r="P21" s="23">
        <f t="shared" si="4"/>
        <v>101.26171080282313</v>
      </c>
      <c r="Q21" s="23">
        <v>1209.48</v>
      </c>
      <c r="R21" s="24">
        <f t="shared" si="5"/>
        <v>100</v>
      </c>
      <c r="S21" s="23">
        <v>1280.81</v>
      </c>
      <c r="T21" s="24">
        <f t="shared" si="12"/>
        <v>105.89757581770678</v>
      </c>
      <c r="U21" s="23">
        <v>23.355799999999999</v>
      </c>
      <c r="V21" s="23">
        <f t="shared" si="13"/>
        <v>23.355799999999999</v>
      </c>
      <c r="W21" s="25">
        <f>V21-22.3705</f>
        <v>0.98529999999999873</v>
      </c>
      <c r="X21" s="25">
        <f t="shared" si="6"/>
        <v>0.98529999999999873</v>
      </c>
      <c r="Y21" s="23">
        <f t="shared" si="7"/>
        <v>1191.7006439999984</v>
      </c>
      <c r="Z21" s="23">
        <f t="shared" si="8"/>
        <v>1261.9820929999983</v>
      </c>
      <c r="AA21" s="23"/>
      <c r="AB21" s="23"/>
      <c r="AC21" s="23"/>
      <c r="AD21" s="23">
        <f>Q21*1.0979999*X21</f>
        <v>1308.4871879419338</v>
      </c>
      <c r="AE21" s="23">
        <f t="shared" si="9"/>
        <v>46.505094941935567</v>
      </c>
      <c r="AF21" s="15" t="s">
        <v>18</v>
      </c>
      <c r="AG21" s="38"/>
      <c r="AH21" s="34"/>
      <c r="AI21" s="34" t="s">
        <v>113</v>
      </c>
      <c r="AJ21" s="34">
        <v>23.359000000000002</v>
      </c>
      <c r="AK21" s="34"/>
      <c r="AL21" s="34"/>
      <c r="AM21" s="34"/>
      <c r="AN21" s="34">
        <f t="shared" si="10"/>
        <v>28248.372983999998</v>
      </c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</row>
    <row r="22" spans="1:107" s="40" customFormat="1" ht="19.149999999999999" customHeight="1" x14ac:dyDescent="0.25">
      <c r="A22" s="15">
        <v>14</v>
      </c>
      <c r="B22" s="12" t="s">
        <v>24</v>
      </c>
      <c r="C22" s="12" t="s">
        <v>40</v>
      </c>
      <c r="D22" s="15">
        <v>740.08</v>
      </c>
      <c r="E22" s="23">
        <v>846.65</v>
      </c>
      <c r="F22" s="23">
        <f>E22/D22*100</f>
        <v>114.39979461679816</v>
      </c>
      <c r="G22" s="23">
        <v>846.65</v>
      </c>
      <c r="H22" s="23">
        <v>897.44</v>
      </c>
      <c r="I22" s="23">
        <v>947.4</v>
      </c>
      <c r="J22" s="23">
        <f t="shared" si="1"/>
        <v>100</v>
      </c>
      <c r="K22" s="23">
        <f t="shared" si="2"/>
        <v>105.99893698694858</v>
      </c>
      <c r="L22" s="23">
        <f t="shared" si="3"/>
        <v>111.89984054804229</v>
      </c>
      <c r="M22" s="23">
        <v>1091.4000000000001</v>
      </c>
      <c r="N22" s="23">
        <f t="shared" si="11"/>
        <v>115.19949335022169</v>
      </c>
      <c r="O22" s="23">
        <v>1155.79</v>
      </c>
      <c r="P22" s="23">
        <f t="shared" si="4"/>
        <v>105.89976177386842</v>
      </c>
      <c r="Q22" s="23">
        <v>1155.79</v>
      </c>
      <c r="R22" s="24">
        <f t="shared" si="5"/>
        <v>100</v>
      </c>
      <c r="S22" s="23">
        <v>1268.97</v>
      </c>
      <c r="T22" s="24">
        <f t="shared" si="12"/>
        <v>109.79243634224211</v>
      </c>
      <c r="U22" s="23">
        <v>26.16</v>
      </c>
      <c r="V22" s="23">
        <f t="shared" si="13"/>
        <v>26.16</v>
      </c>
      <c r="W22" s="25">
        <v>8.93</v>
      </c>
      <c r="X22" s="25">
        <f t="shared" si="6"/>
        <v>8.93</v>
      </c>
      <c r="Y22" s="23">
        <f t="shared" si="7"/>
        <v>10321.2047</v>
      </c>
      <c r="Z22" s="23">
        <f t="shared" si="8"/>
        <v>11331.902099999999</v>
      </c>
      <c r="AA22" s="23"/>
      <c r="AB22" s="23"/>
      <c r="AC22" s="23"/>
      <c r="AD22" s="23">
        <f>Q22*1.0979999*X22</f>
        <v>11332.681728479531</v>
      </c>
      <c r="AE22" s="23">
        <f t="shared" si="9"/>
        <v>0.77962847953131131</v>
      </c>
      <c r="AF22" s="15" t="s">
        <v>38</v>
      </c>
      <c r="AG22" s="41"/>
      <c r="AH22" s="39"/>
      <c r="AI22" s="39" t="s">
        <v>107</v>
      </c>
      <c r="AJ22" s="39">
        <v>20.873999999999999</v>
      </c>
      <c r="AK22" s="39"/>
      <c r="AL22" s="39">
        <f>Y22*1.18</f>
        <v>12179.021546</v>
      </c>
      <c r="AM22" s="39">
        <f>Z22*1.18</f>
        <v>13371.644477999998</v>
      </c>
      <c r="AN22" s="39">
        <f t="shared" si="10"/>
        <v>30235.466399999998</v>
      </c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</row>
    <row r="23" spans="1:107" s="32" customFormat="1" ht="18.649999999999999" customHeight="1" x14ac:dyDescent="0.25">
      <c r="A23" s="15">
        <v>15</v>
      </c>
      <c r="B23" s="12" t="s">
        <v>24</v>
      </c>
      <c r="C23" s="12" t="s">
        <v>237</v>
      </c>
      <c r="D23" s="15">
        <v>488.91</v>
      </c>
      <c r="E23" s="23">
        <v>559.30999999999995</v>
      </c>
      <c r="F23" s="23">
        <f>E23/D23*100</f>
        <v>114.39937820866824</v>
      </c>
      <c r="G23" s="23">
        <v>559.30999999999995</v>
      </c>
      <c r="H23" s="23">
        <v>592.87</v>
      </c>
      <c r="I23" s="23">
        <v>625.87</v>
      </c>
      <c r="J23" s="23">
        <f t="shared" si="1"/>
        <v>100</v>
      </c>
      <c r="K23" s="23">
        <f t="shared" si="2"/>
        <v>106.00025030841573</v>
      </c>
      <c r="L23" s="23">
        <f t="shared" si="3"/>
        <v>111.90037725054086</v>
      </c>
      <c r="M23" s="33">
        <v>720.99</v>
      </c>
      <c r="N23" s="23">
        <f t="shared" si="11"/>
        <v>115.19804432230336</v>
      </c>
      <c r="O23" s="33">
        <v>763.52</v>
      </c>
      <c r="P23" s="23">
        <f t="shared" si="4"/>
        <v>105.89883354831551</v>
      </c>
      <c r="Q23" s="24">
        <v>763.52</v>
      </c>
      <c r="R23" s="24">
        <f t="shared" si="5"/>
        <v>100</v>
      </c>
      <c r="S23" s="24">
        <v>838.34</v>
      </c>
      <c r="T23" s="24">
        <f t="shared" si="12"/>
        <v>109.79935037720034</v>
      </c>
      <c r="U23" s="23">
        <f>[5]Лист1!$X$26/1000</f>
        <v>8.2520000000000007</v>
      </c>
      <c r="V23" s="23">
        <f t="shared" si="13"/>
        <v>8.2520000000000007</v>
      </c>
      <c r="W23" s="25">
        <f>8.252-5.6864</f>
        <v>2.5656000000000008</v>
      </c>
      <c r="X23" s="25">
        <f t="shared" si="6"/>
        <v>2.5656000000000008</v>
      </c>
      <c r="Y23" s="23">
        <f t="shared" si="7"/>
        <v>1958.8869120000006</v>
      </c>
      <c r="Z23" s="23">
        <f t="shared" si="8"/>
        <v>2150.8451040000009</v>
      </c>
      <c r="AA23" s="24"/>
      <c r="AB23" s="24"/>
      <c r="AC23" s="24"/>
      <c r="AD23" s="23">
        <f>Q23*1.09799999*X23</f>
        <v>2150.8578097871314</v>
      </c>
      <c r="AE23" s="23">
        <f t="shared" si="9"/>
        <v>1.2705787130471435E-2</v>
      </c>
      <c r="AF23" s="15" t="s">
        <v>38</v>
      </c>
      <c r="AG23" s="38"/>
      <c r="AH23" s="31"/>
      <c r="AI23" s="31" t="s">
        <v>109</v>
      </c>
      <c r="AJ23" s="31">
        <v>8.1660000000000004</v>
      </c>
      <c r="AK23" s="31"/>
      <c r="AL23" s="31">
        <f>Y23*1.18</f>
        <v>2311.4865561600004</v>
      </c>
      <c r="AM23" s="31">
        <f>Z23*1.18</f>
        <v>2537.997222720001</v>
      </c>
      <c r="AN23" s="31">
        <f t="shared" si="10"/>
        <v>6300.5670399999999</v>
      </c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</row>
    <row r="24" spans="1:107" s="40" customFormat="1" ht="22.15" customHeight="1" x14ac:dyDescent="0.25">
      <c r="A24" s="15">
        <v>16</v>
      </c>
      <c r="B24" s="12" t="s">
        <v>24</v>
      </c>
      <c r="C24" s="12" t="s">
        <v>90</v>
      </c>
      <c r="D24" s="15"/>
      <c r="E24" s="23">
        <v>955</v>
      </c>
      <c r="F24" s="23"/>
      <c r="G24" s="23">
        <v>955</v>
      </c>
      <c r="H24" s="23">
        <v>1012.3</v>
      </c>
      <c r="I24" s="23">
        <v>1068.6400000000001</v>
      </c>
      <c r="J24" s="23">
        <f t="shared" si="1"/>
        <v>100</v>
      </c>
      <c r="K24" s="23">
        <f t="shared" si="2"/>
        <v>106</v>
      </c>
      <c r="L24" s="23">
        <f>I24/E24*100</f>
        <v>111.89947643979059</v>
      </c>
      <c r="M24" s="24">
        <v>1231.07</v>
      </c>
      <c r="N24" s="23">
        <f t="shared" si="11"/>
        <v>115.19969306782451</v>
      </c>
      <c r="O24" s="24">
        <v>1303.7</v>
      </c>
      <c r="P24" s="23">
        <f t="shared" si="4"/>
        <v>105.89974574963243</v>
      </c>
      <c r="Q24" s="24">
        <v>1303.7</v>
      </c>
      <c r="R24" s="24">
        <f t="shared" si="5"/>
        <v>100</v>
      </c>
      <c r="S24" s="24">
        <v>1413.47</v>
      </c>
      <c r="T24" s="24">
        <f t="shared" si="12"/>
        <v>108.41988187466443</v>
      </c>
      <c r="U24" s="23">
        <f>(27217)/1000</f>
        <v>27.216999999999999</v>
      </c>
      <c r="V24" s="23">
        <f t="shared" si="13"/>
        <v>27.216999999999999</v>
      </c>
      <c r="W24" s="25">
        <v>27.216999999999999</v>
      </c>
      <c r="X24" s="25">
        <f t="shared" si="6"/>
        <v>27.216999999999999</v>
      </c>
      <c r="Y24" s="23">
        <f t="shared" si="7"/>
        <v>35482.802900000002</v>
      </c>
      <c r="Z24" s="23">
        <f t="shared" si="8"/>
        <v>38470.412989999997</v>
      </c>
      <c r="AA24" s="24"/>
      <c r="AB24" s="24"/>
      <c r="AC24" s="24"/>
      <c r="AD24" s="23">
        <f>Q24*1.0979999*X24</f>
        <v>38960.114035919709</v>
      </c>
      <c r="AE24" s="23">
        <f t="shared" si="9"/>
        <v>489.70104591971176</v>
      </c>
      <c r="AF24" s="15" t="s">
        <v>41</v>
      </c>
      <c r="AG24" s="38"/>
      <c r="AH24" s="39"/>
      <c r="AI24" s="39" t="s">
        <v>111</v>
      </c>
      <c r="AJ24" s="39">
        <v>8.1029999999999998</v>
      </c>
      <c r="AK24" s="39"/>
      <c r="AL24" s="39"/>
      <c r="AM24" s="39"/>
      <c r="AN24" s="39">
        <f t="shared" si="10"/>
        <v>35482.802900000002</v>
      </c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</row>
    <row r="25" spans="1:107" s="35" customFormat="1" ht="13.15" customHeight="1" x14ac:dyDescent="0.25">
      <c r="A25" s="15">
        <v>17</v>
      </c>
      <c r="B25" s="12" t="s">
        <v>24</v>
      </c>
      <c r="C25" s="12" t="s">
        <v>153</v>
      </c>
      <c r="D25" s="15"/>
      <c r="E25" s="15"/>
      <c r="F25" s="15"/>
      <c r="G25" s="15"/>
      <c r="H25" s="15"/>
      <c r="I25" s="15"/>
      <c r="J25" s="15"/>
      <c r="K25" s="15"/>
      <c r="L25" s="15"/>
      <c r="M25" s="24"/>
      <c r="N25" s="23"/>
      <c r="O25" s="24">
        <v>1088.76</v>
      </c>
      <c r="P25" s="23" t="e">
        <f t="shared" si="4"/>
        <v>#DIV/0!</v>
      </c>
      <c r="Q25" s="24">
        <v>1088.76</v>
      </c>
      <c r="R25" s="24">
        <f t="shared" si="5"/>
        <v>100</v>
      </c>
      <c r="S25" s="24">
        <v>1160.17</v>
      </c>
      <c r="T25" s="24">
        <f t="shared" si="12"/>
        <v>106.55883757669275</v>
      </c>
      <c r="U25" s="23">
        <f>1.9257</f>
        <v>1.9257</v>
      </c>
      <c r="V25" s="23">
        <f t="shared" si="13"/>
        <v>1.9257</v>
      </c>
      <c r="W25" s="25">
        <f>V25-1.7612</f>
        <v>0.16449999999999987</v>
      </c>
      <c r="X25" s="25">
        <f t="shared" si="6"/>
        <v>0.16449999999999987</v>
      </c>
      <c r="Y25" s="23">
        <f t="shared" si="7"/>
        <v>179.10101999999986</v>
      </c>
      <c r="Z25" s="23">
        <f t="shared" si="8"/>
        <v>190.84796499999985</v>
      </c>
      <c r="AA25" s="24"/>
      <c r="AB25" s="24"/>
      <c r="AC25" s="24"/>
      <c r="AD25" s="23">
        <f>Q25*1.0979999*X25</f>
        <v>196.65290204989785</v>
      </c>
      <c r="AE25" s="23">
        <f t="shared" si="9"/>
        <v>5.8049370498980011</v>
      </c>
      <c r="AF25" s="15" t="s">
        <v>17</v>
      </c>
      <c r="AG25" s="38"/>
      <c r="AH25" s="34"/>
      <c r="AI25" s="34"/>
      <c r="AJ25" s="42"/>
      <c r="AK25" s="34"/>
      <c r="AL25" s="34">
        <f>Y25*1.18</f>
        <v>211.33920359999982</v>
      </c>
      <c r="AM25" s="34">
        <f>Z25*1.18</f>
        <v>225.2005986999998</v>
      </c>
      <c r="AN25" s="34">
        <f t="shared" si="10"/>
        <v>2096.6251320000001</v>
      </c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</row>
    <row r="26" spans="1:107" s="35" customFormat="1" ht="29.5" customHeight="1" x14ac:dyDescent="0.25">
      <c r="A26" s="15">
        <v>76</v>
      </c>
      <c r="B26" s="12" t="s">
        <v>24</v>
      </c>
      <c r="C26" s="22" t="s">
        <v>129</v>
      </c>
      <c r="D26" s="22"/>
      <c r="E26" s="22"/>
      <c r="F26" s="22"/>
      <c r="G26" s="22"/>
      <c r="H26" s="22"/>
      <c r="I26" s="33">
        <v>640.62</v>
      </c>
      <c r="J26" s="22"/>
      <c r="K26" s="22"/>
      <c r="L26" s="22"/>
      <c r="M26" s="33">
        <v>640.62</v>
      </c>
      <c r="N26" s="24">
        <f>M26/I26*100</f>
        <v>100</v>
      </c>
      <c r="O26" s="33">
        <v>1139.79</v>
      </c>
      <c r="P26" s="23">
        <f t="shared" si="4"/>
        <v>177.91982766694764</v>
      </c>
      <c r="Q26" s="24">
        <v>1139.79</v>
      </c>
      <c r="R26" s="24">
        <f>Q26/O26*100</f>
        <v>100</v>
      </c>
      <c r="S26" s="24">
        <v>1251.46</v>
      </c>
      <c r="T26" s="24">
        <f>S26/Q26*100</f>
        <v>109.79741882276561</v>
      </c>
      <c r="U26" s="23">
        <f>W26</f>
        <v>44.282589999999999</v>
      </c>
      <c r="V26" s="23">
        <f>U26</f>
        <v>44.282589999999999</v>
      </c>
      <c r="W26" s="25">
        <f>(3153.87+874.35+1715.36+1224.01+2000+981+535+33471+328)/1000</f>
        <v>44.282589999999999</v>
      </c>
      <c r="X26" s="25">
        <f t="shared" si="6"/>
        <v>44.282589999999999</v>
      </c>
      <c r="Y26" s="23">
        <f t="shared" si="7"/>
        <v>50472.853256099996</v>
      </c>
      <c r="Z26" s="23">
        <f t="shared" si="8"/>
        <v>55417.890081400001</v>
      </c>
      <c r="AA26" s="24"/>
      <c r="AB26" s="24"/>
      <c r="AC26" s="24"/>
      <c r="AD26" s="23">
        <f>Q26*1.097999999*X26</f>
        <v>55419.192824724945</v>
      </c>
      <c r="AE26" s="23">
        <f t="shared" si="9"/>
        <v>1.3027433249444584</v>
      </c>
      <c r="AF26" s="15" t="s">
        <v>17</v>
      </c>
      <c r="AG26" s="38"/>
      <c r="AH26" s="34"/>
      <c r="AI26" s="34"/>
      <c r="AJ26" s="42"/>
      <c r="AK26" s="34"/>
      <c r="AL26" s="34"/>
      <c r="AM26" s="34"/>
      <c r="AN26" s="34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</row>
    <row r="27" spans="1:107" s="35" customFormat="1" ht="13" x14ac:dyDescent="0.25">
      <c r="A27" s="15">
        <v>18</v>
      </c>
      <c r="B27" s="12" t="s">
        <v>24</v>
      </c>
      <c r="C27" s="12" t="s">
        <v>154</v>
      </c>
      <c r="D27" s="15"/>
      <c r="E27" s="15"/>
      <c r="F27" s="15"/>
      <c r="G27" s="15"/>
      <c r="H27" s="15"/>
      <c r="I27" s="15"/>
      <c r="J27" s="15"/>
      <c r="K27" s="15"/>
      <c r="L27" s="15"/>
      <c r="M27" s="24"/>
      <c r="N27" s="23"/>
      <c r="O27" s="24">
        <v>1199.79</v>
      </c>
      <c r="P27" s="23" t="e">
        <f t="shared" si="4"/>
        <v>#DIV/0!</v>
      </c>
      <c r="Q27" s="24">
        <v>1199.79</v>
      </c>
      <c r="R27" s="24">
        <f t="shared" si="5"/>
        <v>100</v>
      </c>
      <c r="S27" s="24">
        <v>1279.2</v>
      </c>
      <c r="T27" s="24">
        <f t="shared" si="12"/>
        <v>106.61865826519642</v>
      </c>
      <c r="U27" s="23">
        <f>2.3427</f>
        <v>2.3426999999999998</v>
      </c>
      <c r="V27" s="23">
        <f t="shared" si="13"/>
        <v>2.3426999999999998</v>
      </c>
      <c r="W27" s="25">
        <f>U27-0.0211</f>
        <v>2.3215999999999997</v>
      </c>
      <c r="X27" s="25">
        <f t="shared" si="6"/>
        <v>2.3215999999999997</v>
      </c>
      <c r="Y27" s="23">
        <f t="shared" si="7"/>
        <v>2785.4324639999995</v>
      </c>
      <c r="Z27" s="23">
        <f t="shared" si="8"/>
        <v>2969.7907199999995</v>
      </c>
      <c r="AA27" s="24"/>
      <c r="AB27" s="24"/>
      <c r="AC27" s="24"/>
      <c r="AD27" s="23">
        <f>Q27*1.0979999*X27</f>
        <v>3058.4045669287534</v>
      </c>
      <c r="AE27" s="23">
        <f t="shared" si="9"/>
        <v>88.613846928753901</v>
      </c>
      <c r="AF27" s="15" t="s">
        <v>17</v>
      </c>
      <c r="AG27" s="38"/>
      <c r="AH27" s="34"/>
      <c r="AI27" s="34"/>
      <c r="AJ27" s="42"/>
      <c r="AK27" s="34"/>
      <c r="AL27" s="34">
        <f>Y27*1.18</f>
        <v>3286.8103075199992</v>
      </c>
      <c r="AM27" s="34">
        <f>Z27*1.18</f>
        <v>3504.3530495999994</v>
      </c>
      <c r="AN27" s="34">
        <f>U27*Q27</f>
        <v>2810.7480329999999</v>
      </c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</row>
    <row r="28" spans="1:107" s="35" customFormat="1" ht="13" x14ac:dyDescent="0.25">
      <c r="A28" s="15">
        <v>66</v>
      </c>
      <c r="B28" s="12" t="s">
        <v>24</v>
      </c>
      <c r="C28" s="12" t="s">
        <v>160</v>
      </c>
      <c r="D28" s="15"/>
      <c r="E28" s="15"/>
      <c r="F28" s="15"/>
      <c r="G28" s="15"/>
      <c r="H28" s="15"/>
      <c r="I28" s="15"/>
      <c r="J28" s="15"/>
      <c r="K28" s="15"/>
      <c r="L28" s="15"/>
      <c r="M28" s="24"/>
      <c r="N28" s="23"/>
      <c r="O28" s="24">
        <v>1327.85</v>
      </c>
      <c r="P28" s="23" t="e">
        <v>#DIV/0!</v>
      </c>
      <c r="Q28" s="24">
        <v>1327.85</v>
      </c>
      <c r="R28" s="24">
        <v>100</v>
      </c>
      <c r="S28" s="24">
        <v>1457.97</v>
      </c>
      <c r="T28" s="24">
        <v>109.79929961968597</v>
      </c>
      <c r="U28" s="23">
        <v>11.987</v>
      </c>
      <c r="V28" s="23">
        <v>11.987</v>
      </c>
      <c r="W28" s="25">
        <v>11.987</v>
      </c>
      <c r="X28" s="25">
        <v>11.987</v>
      </c>
      <c r="Y28" s="23">
        <v>15916.93795</v>
      </c>
      <c r="Z28" s="23">
        <v>17476.686389999999</v>
      </c>
      <c r="AA28" s="24"/>
      <c r="AB28" s="24"/>
      <c r="AC28" s="24"/>
      <c r="AD28" s="23">
        <v>17476.797853183063</v>
      </c>
      <c r="AE28" s="23">
        <v>0.11146318306418834</v>
      </c>
      <c r="AF28" s="15" t="s">
        <v>17</v>
      </c>
      <c r="AG28" s="38"/>
      <c r="AH28" s="34"/>
      <c r="AI28" s="34"/>
      <c r="AJ28" s="42"/>
      <c r="AK28" s="34"/>
      <c r="AL28" s="34"/>
      <c r="AM28" s="34"/>
      <c r="AN28" s="34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</row>
    <row r="29" spans="1:107" s="35" customFormat="1" x14ac:dyDescent="0.25">
      <c r="A29" s="15">
        <v>101</v>
      </c>
      <c r="B29" s="12" t="s">
        <v>24</v>
      </c>
      <c r="C29" s="22" t="s">
        <v>170</v>
      </c>
      <c r="D29" s="22"/>
      <c r="E29" s="22"/>
      <c r="F29" s="22"/>
      <c r="G29" s="22"/>
      <c r="H29" s="22"/>
      <c r="I29" s="33"/>
      <c r="J29" s="22"/>
      <c r="K29" s="22"/>
      <c r="L29" s="22"/>
      <c r="M29" s="33"/>
      <c r="N29" s="24"/>
      <c r="O29" s="24">
        <v>1252.5999999999999</v>
      </c>
      <c r="P29" s="23" t="e">
        <f>O29/M29*100</f>
        <v>#DIV/0!</v>
      </c>
      <c r="Q29" s="24">
        <f>O29</f>
        <v>1252.5999999999999</v>
      </c>
      <c r="R29" s="24">
        <f>Q29/O29*100</f>
        <v>100</v>
      </c>
      <c r="S29" s="24">
        <v>1347.68</v>
      </c>
      <c r="T29" s="24">
        <f>S29/Q29*100</f>
        <v>107.59061152802173</v>
      </c>
      <c r="U29" s="23">
        <v>0.91300000000000003</v>
      </c>
      <c r="V29" s="23">
        <v>0.91300000000000003</v>
      </c>
      <c r="W29" s="23">
        <v>0.27900000000000003</v>
      </c>
      <c r="X29" s="23">
        <v>0.27900000000000003</v>
      </c>
      <c r="Y29" s="23">
        <f>W29*Q29</f>
        <v>349.47539999999998</v>
      </c>
      <c r="Z29" s="23">
        <f>X29*S29</f>
        <v>376.00272000000007</v>
      </c>
      <c r="AA29" s="24"/>
      <c r="AB29" s="24"/>
      <c r="AC29" s="24"/>
      <c r="AD29" s="23">
        <f>Q29*1.09799999*X29</f>
        <v>383.72398570524598</v>
      </c>
      <c r="AE29" s="23">
        <f>AD29-Z29</f>
        <v>7.7212657052459122</v>
      </c>
      <c r="AF29" s="15" t="s">
        <v>17</v>
      </c>
      <c r="AG29" s="38"/>
      <c r="AH29" s="34"/>
      <c r="AI29" s="34"/>
      <c r="AJ29" s="42"/>
      <c r="AK29" s="34"/>
      <c r="AL29" s="34"/>
      <c r="AM29" s="34"/>
      <c r="AN29" s="34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</row>
    <row r="30" spans="1:107" s="35" customFormat="1" ht="25" x14ac:dyDescent="0.25">
      <c r="A30" s="15">
        <v>94</v>
      </c>
      <c r="B30" s="12" t="s">
        <v>24</v>
      </c>
      <c r="C30" s="12" t="s">
        <v>168</v>
      </c>
      <c r="D30" s="22"/>
      <c r="E30" s="22"/>
      <c r="F30" s="22"/>
      <c r="G30" s="22"/>
      <c r="H30" s="22"/>
      <c r="I30" s="33"/>
      <c r="J30" s="22"/>
      <c r="K30" s="22"/>
      <c r="L30" s="22"/>
      <c r="M30" s="33"/>
      <c r="N30" s="24"/>
      <c r="O30" s="33">
        <v>1740.48</v>
      </c>
      <c r="P30" s="23" t="e">
        <f>O30/M30*100</f>
        <v>#DIV/0!</v>
      </c>
      <c r="Q30" s="33">
        <v>1711.54</v>
      </c>
      <c r="R30" s="24">
        <f>Q30/O30*100</f>
        <v>98.337240301526009</v>
      </c>
      <c r="S30" s="24">
        <v>1842.48</v>
      </c>
      <c r="T30" s="24">
        <f>S30/Q30*100</f>
        <v>107.65042008951005</v>
      </c>
      <c r="U30" s="23">
        <v>1.79</v>
      </c>
      <c r="V30" s="23">
        <v>1.79</v>
      </c>
      <c r="W30" s="23">
        <v>1.79</v>
      </c>
      <c r="X30" s="23">
        <v>1.79</v>
      </c>
      <c r="Y30" s="23">
        <f>W30*Q30</f>
        <v>3063.6565999999998</v>
      </c>
      <c r="Z30" s="23">
        <f>X30*S30</f>
        <v>3298.0392000000002</v>
      </c>
      <c r="AA30" s="24"/>
      <c r="AB30" s="24"/>
      <c r="AC30" s="24"/>
      <c r="AD30" s="23">
        <f>Q30*1.09799999*X30</f>
        <v>3363.8949161634337</v>
      </c>
      <c r="AE30" s="23">
        <f>AD30-Z30</f>
        <v>65.855716163433499</v>
      </c>
      <c r="AF30" s="15" t="s">
        <v>18</v>
      </c>
      <c r="AG30" s="38"/>
      <c r="AH30" s="34"/>
      <c r="AI30" s="34"/>
      <c r="AJ30" s="42"/>
      <c r="AK30" s="34"/>
      <c r="AL30" s="34"/>
      <c r="AM30" s="34"/>
      <c r="AN30" s="34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</row>
    <row r="31" spans="1:107" s="35" customFormat="1" x14ac:dyDescent="0.25">
      <c r="A31" s="15">
        <v>43</v>
      </c>
      <c r="B31" s="12" t="s">
        <v>24</v>
      </c>
      <c r="C31" s="22" t="s">
        <v>158</v>
      </c>
      <c r="D31" s="15"/>
      <c r="E31" s="73" t="s">
        <v>103</v>
      </c>
      <c r="F31" s="73"/>
      <c r="G31" s="73"/>
      <c r="H31" s="73"/>
      <c r="I31" s="73"/>
      <c r="J31" s="73"/>
      <c r="K31" s="73"/>
      <c r="L31" s="73"/>
      <c r="M31" s="33">
        <v>1192.94</v>
      </c>
      <c r="N31" s="24">
        <v>0</v>
      </c>
      <c r="O31" s="33">
        <v>1251.3800000000001</v>
      </c>
      <c r="P31" s="23">
        <f>O31/M31*100</f>
        <v>104.89882139923215</v>
      </c>
      <c r="Q31" s="24">
        <v>1251.3800000000001</v>
      </c>
      <c r="R31" s="24">
        <f>Q31/O31*100</f>
        <v>100</v>
      </c>
      <c r="S31" s="24">
        <v>1374.02</v>
      </c>
      <c r="T31" s="24">
        <f>S31/Q31*100</f>
        <v>109.80038038006039</v>
      </c>
      <c r="U31" s="23">
        <f>8826.6/1000</f>
        <v>8.8266000000000009</v>
      </c>
      <c r="V31" s="23">
        <f>U31</f>
        <v>8.8266000000000009</v>
      </c>
      <c r="W31" s="23">
        <v>1.528</v>
      </c>
      <c r="X31" s="23">
        <v>1.528</v>
      </c>
      <c r="Y31" s="23">
        <f>W31*Q31</f>
        <v>1912.1086400000002</v>
      </c>
      <c r="Z31" s="23">
        <f>X31*S31</f>
        <v>2099.5025599999999</v>
      </c>
      <c r="AA31" s="24"/>
      <c r="AB31" s="24"/>
      <c r="AC31" s="24"/>
      <c r="AD31" s="23">
        <f>Q31*1.097999999*X31</f>
        <v>2099.4952848078915</v>
      </c>
      <c r="AE31" s="23">
        <f>AD31-Z31</f>
        <v>-7.2751921084091009E-3</v>
      </c>
      <c r="AF31" s="15" t="s">
        <v>38</v>
      </c>
      <c r="AG31" s="38"/>
      <c r="AH31" s="34"/>
      <c r="AI31" s="34"/>
      <c r="AJ31" s="42"/>
      <c r="AK31" s="34"/>
      <c r="AL31" s="34"/>
      <c r="AM31" s="34"/>
      <c r="AN31" s="34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</row>
    <row r="32" spans="1:107" s="35" customFormat="1" ht="13" x14ac:dyDescent="0.25">
      <c r="A32" s="15">
        <v>92</v>
      </c>
      <c r="B32" s="12" t="s">
        <v>24</v>
      </c>
      <c r="C32" s="12" t="s">
        <v>188</v>
      </c>
      <c r="D32" s="22"/>
      <c r="E32" s="22"/>
      <c r="F32" s="22"/>
      <c r="G32" s="22"/>
      <c r="H32" s="22"/>
      <c r="I32" s="33"/>
      <c r="J32" s="22"/>
      <c r="K32" s="22"/>
      <c r="L32" s="22"/>
      <c r="M32" s="33">
        <v>1254.96</v>
      </c>
      <c r="N32" s="24" t="e">
        <f>M32/I32*100</f>
        <v>#DIV/0!</v>
      </c>
      <c r="O32" s="33">
        <v>1329.01</v>
      </c>
      <c r="P32" s="23">
        <f>O32/M32*100</f>
        <v>105.90058647287563</v>
      </c>
      <c r="Q32" s="24">
        <v>1329.01</v>
      </c>
      <c r="R32" s="24">
        <f>Q32/O32*100</f>
        <v>100</v>
      </c>
      <c r="S32" s="24">
        <v>1459.2529999999999</v>
      </c>
      <c r="T32" s="24">
        <f>S32/Q32*100</f>
        <v>109.80000150487956</v>
      </c>
      <c r="U32" s="23">
        <v>419.90069999999997</v>
      </c>
      <c r="V32" s="23">
        <v>419.90069999999997</v>
      </c>
      <c r="W32" s="25">
        <v>419.90069999999997</v>
      </c>
      <c r="X32" s="25">
        <v>419.90069999999997</v>
      </c>
      <c r="Y32" s="23">
        <f>W32*Q32</f>
        <v>558052.22930699994</v>
      </c>
      <c r="Z32" s="23">
        <f>X32*S32</f>
        <v>612741.35617709998</v>
      </c>
      <c r="AA32" s="24"/>
      <c r="AB32" s="24"/>
      <c r="AC32" s="24"/>
      <c r="AD32" s="23">
        <f>Q32*1.09799999*X32</f>
        <v>612741.34219856362</v>
      </c>
      <c r="AE32" s="23">
        <f>AD32-Z32</f>
        <v>-1.3978536357171834E-2</v>
      </c>
      <c r="AF32" s="15" t="s">
        <v>17</v>
      </c>
      <c r="AG32" s="38"/>
      <c r="AH32" s="34"/>
      <c r="AI32" s="34"/>
      <c r="AJ32" s="42"/>
      <c r="AK32" s="34"/>
      <c r="AL32" s="34"/>
      <c r="AM32" s="34"/>
      <c r="AN32" s="34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</row>
    <row r="33" spans="1:107" s="35" customFormat="1" ht="25" x14ac:dyDescent="0.25">
      <c r="A33" s="15">
        <v>77</v>
      </c>
      <c r="B33" s="12" t="s">
        <v>24</v>
      </c>
      <c r="C33" s="22" t="s">
        <v>166</v>
      </c>
      <c r="D33" s="22"/>
      <c r="E33" s="22"/>
      <c r="F33" s="22"/>
      <c r="G33" s="22"/>
      <c r="H33" s="22"/>
      <c r="I33" s="33"/>
      <c r="J33" s="22"/>
      <c r="K33" s="22"/>
      <c r="L33" s="22"/>
      <c r="M33" s="33"/>
      <c r="N33" s="24"/>
      <c r="O33" s="33">
        <v>1692.42</v>
      </c>
      <c r="P33" s="23" t="e">
        <f>O33/M33*100</f>
        <v>#DIV/0!</v>
      </c>
      <c r="Q33" s="24">
        <v>1692.42</v>
      </c>
      <c r="R33" s="24">
        <f>Q33/O33*100</f>
        <v>100</v>
      </c>
      <c r="S33" s="24">
        <v>1858.05</v>
      </c>
      <c r="T33" s="24">
        <f>S33/Q33*100</f>
        <v>109.78657779983692</v>
      </c>
      <c r="U33" s="23">
        <f>1759.32/1000</f>
        <v>1.75932</v>
      </c>
      <c r="V33" s="23">
        <f>U33</f>
        <v>1.75932</v>
      </c>
      <c r="W33" s="25">
        <f>V33</f>
        <v>1.75932</v>
      </c>
      <c r="X33" s="25">
        <f>W33</f>
        <v>1.75932</v>
      </c>
      <c r="Y33" s="23">
        <f>W33*Q33</f>
        <v>2977.5083543999999</v>
      </c>
      <c r="Z33" s="23">
        <f>X33*S33</f>
        <v>3268.9045259999998</v>
      </c>
      <c r="AA33" s="24"/>
      <c r="AB33" s="24"/>
      <c r="AC33" s="24"/>
      <c r="AD33" s="23">
        <f>Q33*1.097999999*X33</f>
        <v>3269.3041701536918</v>
      </c>
      <c r="AE33" s="23">
        <f>AD33-Z33</f>
        <v>0.39964415369195194</v>
      </c>
      <c r="AF33" s="15"/>
      <c r="AG33" s="38"/>
      <c r="AH33" s="34"/>
      <c r="AI33" s="34"/>
      <c r="AJ33" s="42"/>
      <c r="AK33" s="34"/>
      <c r="AL33" s="34"/>
      <c r="AM33" s="34"/>
      <c r="AN33" s="34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</row>
    <row r="34" spans="1:107" s="35" customFormat="1" ht="25" x14ac:dyDescent="0.25">
      <c r="A34" s="15">
        <v>67</v>
      </c>
      <c r="B34" s="12" t="s">
        <v>24</v>
      </c>
      <c r="C34" s="12" t="s">
        <v>162</v>
      </c>
      <c r="D34" s="15"/>
      <c r="E34" s="15"/>
      <c r="F34" s="15"/>
      <c r="G34" s="15"/>
      <c r="H34" s="15"/>
      <c r="I34" s="15"/>
      <c r="J34" s="15"/>
      <c r="K34" s="15"/>
      <c r="L34" s="15"/>
      <c r="M34" s="24"/>
      <c r="N34" s="23"/>
      <c r="O34" s="24">
        <v>609.09</v>
      </c>
      <c r="P34" s="23" t="e">
        <v>#DIV/0!</v>
      </c>
      <c r="Q34" s="24">
        <v>609.09</v>
      </c>
      <c r="R34" s="24">
        <v>100</v>
      </c>
      <c r="S34" s="24">
        <v>668.78</v>
      </c>
      <c r="T34" s="24">
        <v>109.79986537293338</v>
      </c>
      <c r="U34" s="23">
        <v>20.58</v>
      </c>
      <c r="V34" s="23">
        <v>20.58</v>
      </c>
      <c r="W34" s="25">
        <v>20.58</v>
      </c>
      <c r="X34" s="25">
        <v>20.58</v>
      </c>
      <c r="Y34" s="23">
        <v>12535.072200000001</v>
      </c>
      <c r="Z34" s="23">
        <v>13763.492399999999</v>
      </c>
      <c r="AA34" s="24"/>
      <c r="AB34" s="24"/>
      <c r="AC34" s="24"/>
      <c r="AD34" s="23">
        <v>13763.509274346494</v>
      </c>
      <c r="AE34" s="23">
        <v>1.6874346494660131E-2</v>
      </c>
      <c r="AF34" s="15" t="s">
        <v>41</v>
      </c>
      <c r="AG34" s="38"/>
      <c r="AH34" s="34"/>
      <c r="AI34" s="34"/>
      <c r="AJ34" s="42"/>
      <c r="AK34" s="34"/>
      <c r="AL34" s="34"/>
      <c r="AM34" s="34"/>
      <c r="AN34" s="34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</row>
    <row r="35" spans="1:107" s="35" customFormat="1" ht="13.9" customHeight="1" x14ac:dyDescent="0.25">
      <c r="A35" s="15">
        <v>20</v>
      </c>
      <c r="B35" s="12" t="s">
        <v>24</v>
      </c>
      <c r="C35" s="22" t="s">
        <v>100</v>
      </c>
      <c r="D35" s="15"/>
      <c r="E35" s="73" t="s">
        <v>103</v>
      </c>
      <c r="F35" s="73"/>
      <c r="G35" s="73"/>
      <c r="H35" s="73"/>
      <c r="I35" s="73"/>
      <c r="J35" s="73"/>
      <c r="K35" s="73"/>
      <c r="L35" s="73"/>
      <c r="M35" s="33">
        <v>622.36</v>
      </c>
      <c r="N35" s="23">
        <v>0</v>
      </c>
      <c r="O35" s="33">
        <v>659.04</v>
      </c>
      <c r="P35" s="23">
        <f>O35/M35*100</f>
        <v>105.89369496754288</v>
      </c>
      <c r="Q35" s="24">
        <v>659.04</v>
      </c>
      <c r="R35" s="24">
        <f t="shared" si="5"/>
        <v>100</v>
      </c>
      <c r="S35" s="24">
        <v>723.47</v>
      </c>
      <c r="T35" s="24">
        <f t="shared" si="12"/>
        <v>109.77634134498666</v>
      </c>
      <c r="U35" s="23">
        <f>8.094</f>
        <v>8.0939999999999994</v>
      </c>
      <c r="V35" s="23">
        <f t="shared" si="13"/>
        <v>8.0939999999999994</v>
      </c>
      <c r="W35" s="25">
        <f>V35-7.872</f>
        <v>0.22199999999999953</v>
      </c>
      <c r="X35" s="25">
        <f>W35</f>
        <v>0.22199999999999953</v>
      </c>
      <c r="Y35" s="23">
        <f>W35*Q35</f>
        <v>146.30687999999969</v>
      </c>
      <c r="Z35" s="23">
        <f>X35*S35</f>
        <v>160.61033999999967</v>
      </c>
      <c r="AA35" s="24"/>
      <c r="AB35" s="24"/>
      <c r="AC35" s="24"/>
      <c r="AD35" s="23">
        <f>Q35*1.0979999*X35</f>
        <v>160.64493960931168</v>
      </c>
      <c r="AE35" s="23">
        <f>AD35-Z35</f>
        <v>3.4599609312010671E-2</v>
      </c>
      <c r="AF35" s="15" t="s">
        <v>38</v>
      </c>
      <c r="AG35" s="15"/>
      <c r="AH35" s="34"/>
      <c r="AI35" s="34" t="s">
        <v>107</v>
      </c>
      <c r="AJ35" s="34"/>
      <c r="AK35" s="34"/>
      <c r="AL35" s="34">
        <f>Y35*1.18</f>
        <v>172.64211839999962</v>
      </c>
      <c r="AM35" s="34">
        <f>Z35*1.18</f>
        <v>189.5202011999996</v>
      </c>
      <c r="AN35" s="34">
        <f>U35*Q35</f>
        <v>5334.2697599999992</v>
      </c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</row>
    <row r="36" spans="1:107" s="35" customFormat="1" ht="13.9" customHeight="1" x14ac:dyDescent="0.25">
      <c r="A36" s="76" t="s">
        <v>220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15"/>
      <c r="AH36" s="34"/>
      <c r="AI36" s="34"/>
      <c r="AJ36" s="34"/>
      <c r="AK36" s="34"/>
      <c r="AL36" s="34"/>
      <c r="AM36" s="34"/>
      <c r="AN36" s="34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</row>
    <row r="37" spans="1:107" s="28" customFormat="1" ht="13" x14ac:dyDescent="0.25">
      <c r="A37" s="15">
        <v>21</v>
      </c>
      <c r="B37" s="12" t="s">
        <v>33</v>
      </c>
      <c r="C37" s="64" t="s">
        <v>186</v>
      </c>
      <c r="D37" s="15">
        <v>659.15</v>
      </c>
      <c r="E37" s="15">
        <v>753.72</v>
      </c>
      <c r="F37" s="23">
        <f>E37/D37*100</f>
        <v>114.34726541758326</v>
      </c>
      <c r="G37" s="23">
        <v>753.72</v>
      </c>
      <c r="H37" s="23">
        <v>798.94</v>
      </c>
      <c r="I37" s="23">
        <v>843.41</v>
      </c>
      <c r="J37" s="23">
        <f>G37/E37*100</f>
        <v>100</v>
      </c>
      <c r="K37" s="23">
        <f>H37/E37*100</f>
        <v>105.99957543915512</v>
      </c>
      <c r="L37" s="23">
        <f>I37/E37*100</f>
        <v>111.89964443029241</v>
      </c>
      <c r="M37" s="33">
        <v>971.6</v>
      </c>
      <c r="N37" s="23">
        <f t="shared" si="11"/>
        <v>115.19901352841441</v>
      </c>
      <c r="O37" s="24"/>
      <c r="P37" s="23">
        <f>O37/M37*100</f>
        <v>0</v>
      </c>
      <c r="Q37" s="24">
        <v>1028.81</v>
      </c>
      <c r="R37" s="24"/>
      <c r="S37" s="24">
        <v>1129.6300000000001</v>
      </c>
      <c r="T37" s="24">
        <f t="shared" si="12"/>
        <v>109.79967146509075</v>
      </c>
      <c r="U37" s="23">
        <v>560.33399999999995</v>
      </c>
      <c r="V37" s="23">
        <v>560.33399999999995</v>
      </c>
      <c r="W37" s="25">
        <f>V37</f>
        <v>560.33399999999995</v>
      </c>
      <c r="X37" s="25">
        <f>W37</f>
        <v>560.33399999999995</v>
      </c>
      <c r="Y37" s="23">
        <f>W37*Q37</f>
        <v>576477.22253999987</v>
      </c>
      <c r="Z37" s="23">
        <f>X37*S37</f>
        <v>632970.09641999996</v>
      </c>
      <c r="AA37" s="24"/>
      <c r="AB37" s="24"/>
      <c r="AC37" s="24"/>
      <c r="AD37" s="23">
        <f>Q37*1.097999*X37</f>
        <v>632971.41387169727</v>
      </c>
      <c r="AE37" s="23">
        <f>AD37-Z37</f>
        <v>1.3174516973085701</v>
      </c>
      <c r="AF37" s="15" t="s">
        <v>17</v>
      </c>
      <c r="AG37" s="15"/>
      <c r="AH37" s="26"/>
      <c r="AI37" s="26" t="s">
        <v>107</v>
      </c>
      <c r="AJ37" s="26">
        <v>410.315</v>
      </c>
      <c r="AK37" s="26">
        <v>0.123</v>
      </c>
      <c r="AL37" s="26">
        <f>Y37*1.18</f>
        <v>680243.12259719986</v>
      </c>
      <c r="AM37" s="26">
        <f>Z37*1.18</f>
        <v>746904.71377559996</v>
      </c>
      <c r="AN37" s="26">
        <f>U37*Q37</f>
        <v>576477.22253999987</v>
      </c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</row>
    <row r="38" spans="1:107" s="28" customFormat="1" ht="13" x14ac:dyDescent="0.25">
      <c r="A38" s="76" t="s">
        <v>190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15"/>
      <c r="AH38" s="26"/>
      <c r="AI38" s="26"/>
      <c r="AJ38" s="26"/>
      <c r="AK38" s="26"/>
      <c r="AL38" s="26"/>
      <c r="AM38" s="26"/>
      <c r="AN38" s="26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</row>
    <row r="39" spans="1:107" s="40" customFormat="1" ht="13" x14ac:dyDescent="0.25">
      <c r="A39" s="15">
        <v>22</v>
      </c>
      <c r="B39" s="12" t="s">
        <v>32</v>
      </c>
      <c r="C39" s="12" t="s">
        <v>11</v>
      </c>
      <c r="D39" s="15">
        <v>996.05</v>
      </c>
      <c r="E39" s="15">
        <v>1095.6600000000001</v>
      </c>
      <c r="F39" s="23">
        <f>E39/D39*100</f>
        <v>110.0005019828322</v>
      </c>
      <c r="G39" s="23">
        <v>1095.6600000000001</v>
      </c>
      <c r="H39" s="23">
        <v>1161.3900000000001</v>
      </c>
      <c r="I39" s="23">
        <v>1226.04</v>
      </c>
      <c r="J39" s="23">
        <f>G39/E39*100</f>
        <v>100</v>
      </c>
      <c r="K39" s="23">
        <f>H39/E39*100</f>
        <v>105.99912381578227</v>
      </c>
      <c r="L39" s="23">
        <f t="shared" ref="L39:L53" si="15">I39/E39*100</f>
        <v>111.8996769070697</v>
      </c>
      <c r="M39" s="33">
        <v>1412.39</v>
      </c>
      <c r="N39" s="23">
        <f t="shared" si="11"/>
        <v>115.19934096766829</v>
      </c>
      <c r="O39" s="33">
        <v>1495.75</v>
      </c>
      <c r="P39" s="23">
        <f>O39/M39*100</f>
        <v>105.90205254922506</v>
      </c>
      <c r="Q39" s="24">
        <v>1495.72</v>
      </c>
      <c r="R39" s="24">
        <f t="shared" si="5"/>
        <v>99.99799431723217</v>
      </c>
      <c r="S39" s="24">
        <v>1642.13</v>
      </c>
      <c r="T39" s="24">
        <f t="shared" si="12"/>
        <v>109.7885967961918</v>
      </c>
      <c r="U39" s="23">
        <f>(11217)/1000</f>
        <v>11.217000000000001</v>
      </c>
      <c r="V39" s="23">
        <f t="shared" si="13"/>
        <v>11.217000000000001</v>
      </c>
      <c r="W39" s="25">
        <v>11.217000000000001</v>
      </c>
      <c r="X39" s="25">
        <f>W39</f>
        <v>11.217000000000001</v>
      </c>
      <c r="Y39" s="23">
        <f>W39*Q39</f>
        <v>16777.491239999999</v>
      </c>
      <c r="Z39" s="23">
        <f>X39*S39</f>
        <v>18419.772210000003</v>
      </c>
      <c r="AA39" s="24"/>
      <c r="AB39" s="24"/>
      <c r="AC39" s="24"/>
      <c r="AD39" s="23">
        <f t="shared" ref="AD39:AD51" si="16">Q39*1.09799999*X39</f>
        <v>18421.685213745088</v>
      </c>
      <c r="AE39" s="23">
        <f>AD39-Z39</f>
        <v>1.9130037450850068</v>
      </c>
      <c r="AF39" s="15" t="s">
        <v>17</v>
      </c>
      <c r="AG39" s="15"/>
      <c r="AH39" s="39"/>
      <c r="AI39" s="39" t="s">
        <v>107</v>
      </c>
      <c r="AJ39" s="39">
        <v>7.9950000000000001</v>
      </c>
      <c r="AK39" s="39"/>
      <c r="AL39" s="39">
        <f>Y39*1.18</f>
        <v>19797.439663199999</v>
      </c>
      <c r="AM39" s="39">
        <f>Z39*1.18</f>
        <v>21735.331207800002</v>
      </c>
      <c r="AN39" s="39">
        <f>U39*Q39</f>
        <v>16777.491239999999</v>
      </c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</row>
    <row r="40" spans="1:107" s="40" customFormat="1" ht="25" x14ac:dyDescent="0.25">
      <c r="A40" s="15">
        <v>99</v>
      </c>
      <c r="B40" s="12" t="s">
        <v>32</v>
      </c>
      <c r="C40" s="22" t="s">
        <v>183</v>
      </c>
      <c r="D40" s="22"/>
      <c r="E40" s="22"/>
      <c r="F40" s="22"/>
      <c r="G40" s="22"/>
      <c r="H40" s="22"/>
      <c r="I40" s="33"/>
      <c r="J40" s="22"/>
      <c r="K40" s="22"/>
      <c r="L40" s="22"/>
      <c r="M40" s="33"/>
      <c r="N40" s="24"/>
      <c r="O40" s="33">
        <v>1581.14</v>
      </c>
      <c r="P40" s="23" t="e">
        <f>O40/M40*100</f>
        <v>#DIV/0!</v>
      </c>
      <c r="Q40" s="33">
        <v>1581.14</v>
      </c>
      <c r="R40" s="24">
        <f>Q40/O40*100</f>
        <v>100</v>
      </c>
      <c r="S40" s="24">
        <v>1712.92</v>
      </c>
      <c r="T40" s="24">
        <f>S40/Q40*100</f>
        <v>108.33449283428411</v>
      </c>
      <c r="U40" s="23">
        <v>1.7043999999999999</v>
      </c>
      <c r="V40" s="23">
        <f>U40</f>
        <v>1.7043999999999999</v>
      </c>
      <c r="W40" s="23">
        <f>U40</f>
        <v>1.7043999999999999</v>
      </c>
      <c r="X40" s="23">
        <f>W40</f>
        <v>1.7043999999999999</v>
      </c>
      <c r="Y40" s="23">
        <f>W40*Q40</f>
        <v>2694.8950159999999</v>
      </c>
      <c r="Z40" s="23">
        <f>X40*S40</f>
        <v>2919.5008480000001</v>
      </c>
      <c r="AA40" s="24"/>
      <c r="AB40" s="24"/>
      <c r="AC40" s="24"/>
      <c r="AD40" s="23">
        <f>Q40*1.09799999*X40</f>
        <v>2958.9947006190496</v>
      </c>
      <c r="AE40" s="23">
        <f>AD40-Z40</f>
        <v>39.493852619049449</v>
      </c>
      <c r="AF40" s="15" t="s">
        <v>18</v>
      </c>
      <c r="AG40" s="15"/>
      <c r="AH40" s="39"/>
      <c r="AI40" s="39"/>
      <c r="AJ40" s="39"/>
      <c r="AK40" s="39"/>
      <c r="AL40" s="39"/>
      <c r="AM40" s="39"/>
      <c r="AN40" s="39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</row>
    <row r="41" spans="1:107" s="40" customFormat="1" x14ac:dyDescent="0.25">
      <c r="A41" s="15">
        <v>98</v>
      </c>
      <c r="B41" s="12" t="s">
        <v>32</v>
      </c>
      <c r="C41" s="22" t="s">
        <v>187</v>
      </c>
      <c r="D41" s="22"/>
      <c r="E41" s="22"/>
      <c r="F41" s="22"/>
      <c r="G41" s="22"/>
      <c r="H41" s="22"/>
      <c r="I41" s="33"/>
      <c r="J41" s="22"/>
      <c r="K41" s="22"/>
      <c r="L41" s="22"/>
      <c r="M41" s="33"/>
      <c r="N41" s="24"/>
      <c r="O41" s="33">
        <v>385.04</v>
      </c>
      <c r="P41" s="23" t="e">
        <f>O41/M41*100</f>
        <v>#DIV/0!</v>
      </c>
      <c r="Q41" s="33">
        <f>O41</f>
        <v>385.04</v>
      </c>
      <c r="R41" s="24">
        <f>Q41/O41*100</f>
        <v>100</v>
      </c>
      <c r="S41" s="24">
        <v>433.03</v>
      </c>
      <c r="T41" s="24">
        <f>S41/Q41*100</f>
        <v>112.463640141284</v>
      </c>
      <c r="U41" s="23">
        <v>301.01100000000002</v>
      </c>
      <c r="V41" s="23">
        <f>U41</f>
        <v>301.01100000000002</v>
      </c>
      <c r="W41" s="23">
        <f>U41</f>
        <v>301.01100000000002</v>
      </c>
      <c r="X41" s="23">
        <f>W41</f>
        <v>301.01100000000002</v>
      </c>
      <c r="Y41" s="23">
        <f>W41*Q41</f>
        <v>115901.27544000001</v>
      </c>
      <c r="Z41" s="23">
        <f>X41*S41</f>
        <v>130346.79333</v>
      </c>
      <c r="AA41" s="24"/>
      <c r="AB41" s="24"/>
      <c r="AC41" s="24"/>
      <c r="AD41" s="23">
        <f>Q41*1.097999*X41</f>
        <v>127259.48453184457</v>
      </c>
      <c r="AE41" s="23">
        <f>AD41-Z41</f>
        <v>-3087.3087981554272</v>
      </c>
      <c r="AF41" s="15" t="s">
        <v>17</v>
      </c>
      <c r="AG41" s="15"/>
      <c r="AH41" s="39"/>
      <c r="AI41" s="39"/>
      <c r="AJ41" s="39"/>
      <c r="AK41" s="39"/>
      <c r="AL41" s="39"/>
      <c r="AM41" s="39"/>
      <c r="AN41" s="39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</row>
    <row r="42" spans="1:107" s="40" customFormat="1" ht="25" x14ac:dyDescent="0.25">
      <c r="A42" s="15">
        <v>75</v>
      </c>
      <c r="B42" s="12" t="s">
        <v>32</v>
      </c>
      <c r="C42" s="22" t="s">
        <v>115</v>
      </c>
      <c r="D42" s="22"/>
      <c r="E42" s="22"/>
      <c r="F42" s="22"/>
      <c r="G42" s="22"/>
      <c r="H42" s="22"/>
      <c r="I42" s="33">
        <v>1620.1</v>
      </c>
      <c r="J42" s="22"/>
      <c r="K42" s="22"/>
      <c r="L42" s="22"/>
      <c r="M42" s="33">
        <v>1620.1</v>
      </c>
      <c r="N42" s="24">
        <f t="shared" si="11"/>
        <v>100</v>
      </c>
      <c r="O42" s="33">
        <v>1859.24</v>
      </c>
      <c r="P42" s="23">
        <f>O42/M42*100</f>
        <v>114.76081723350411</v>
      </c>
      <c r="Q42" s="24">
        <v>1859.24</v>
      </c>
      <c r="R42" s="24">
        <f t="shared" si="5"/>
        <v>100</v>
      </c>
      <c r="S42" s="24">
        <v>2041.35</v>
      </c>
      <c r="T42" s="24">
        <f t="shared" si="12"/>
        <v>109.79486241690152</v>
      </c>
      <c r="U42" s="23">
        <f>(249.39+808)/1000</f>
        <v>1.0573899999999998</v>
      </c>
      <c r="V42" s="23">
        <f t="shared" si="13"/>
        <v>1.0573899999999998</v>
      </c>
      <c r="W42" s="25">
        <f>(249.39+808)/1000</f>
        <v>1.0573899999999998</v>
      </c>
      <c r="X42" s="25">
        <f>W42</f>
        <v>1.0573899999999998</v>
      </c>
      <c r="Y42" s="23">
        <f>W42*Q42</f>
        <v>1965.9417835999998</v>
      </c>
      <c r="Z42" s="23">
        <f>X42*S42</f>
        <v>2158.5030764999997</v>
      </c>
      <c r="AA42" s="24"/>
      <c r="AB42" s="24"/>
      <c r="AC42" s="24"/>
      <c r="AD42" s="23">
        <f>Q42*1.097999999*X42</f>
        <v>2158.6040764268578</v>
      </c>
      <c r="AE42" s="23">
        <f>AD42-Z42</f>
        <v>0.10099992685809411</v>
      </c>
      <c r="AF42" s="15" t="s">
        <v>17</v>
      </c>
      <c r="AG42" s="15"/>
      <c r="AH42" s="39"/>
      <c r="AI42" s="39"/>
      <c r="AJ42" s="39"/>
      <c r="AK42" s="39"/>
      <c r="AL42" s="39"/>
      <c r="AM42" s="39"/>
      <c r="AN42" s="39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</row>
    <row r="43" spans="1:107" s="40" customFormat="1" ht="13" x14ac:dyDescent="0.25">
      <c r="A43" s="76" t="s">
        <v>191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15"/>
      <c r="AH43" s="39"/>
      <c r="AI43" s="39"/>
      <c r="AJ43" s="39"/>
      <c r="AK43" s="39"/>
      <c r="AL43" s="39"/>
      <c r="AM43" s="39"/>
      <c r="AN43" s="39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</row>
    <row r="44" spans="1:107" s="45" customFormat="1" ht="25" x14ac:dyDescent="0.25">
      <c r="A44" s="15">
        <v>23</v>
      </c>
      <c r="B44" s="12" t="s">
        <v>55</v>
      </c>
      <c r="C44" s="12" t="s">
        <v>85</v>
      </c>
      <c r="D44" s="15">
        <v>1142.1600000000001</v>
      </c>
      <c r="E44" s="23">
        <v>991.83</v>
      </c>
      <c r="F44" s="23">
        <v>991.83</v>
      </c>
      <c r="G44" s="23">
        <v>991.83</v>
      </c>
      <c r="H44" s="23">
        <v>1051.33</v>
      </c>
      <c r="I44" s="23">
        <v>1109.8499999999999</v>
      </c>
      <c r="J44" s="23">
        <f>G44/E44*100</f>
        <v>100</v>
      </c>
      <c r="K44" s="23">
        <f>H44/E44*100</f>
        <v>105.99901192744723</v>
      </c>
      <c r="L44" s="23">
        <f t="shared" si="15"/>
        <v>111.89921659961888</v>
      </c>
      <c r="M44" s="33">
        <v>1278.43</v>
      </c>
      <c r="N44" s="23">
        <f t="shared" si="11"/>
        <v>115.18944001441638</v>
      </c>
      <c r="O44" s="33">
        <v>1353.89</v>
      </c>
      <c r="P44" s="23">
        <f>O44/M44*100</f>
        <v>105.90255234936603</v>
      </c>
      <c r="Q44" s="24">
        <v>1353.89</v>
      </c>
      <c r="R44" s="24">
        <f t="shared" si="5"/>
        <v>100</v>
      </c>
      <c r="S44" s="24">
        <v>1486.57</v>
      </c>
      <c r="T44" s="24">
        <f t="shared" si="12"/>
        <v>109.79990988928199</v>
      </c>
      <c r="U44" s="23">
        <v>15.847</v>
      </c>
      <c r="V44" s="23">
        <f t="shared" si="13"/>
        <v>15.847</v>
      </c>
      <c r="W44" s="23">
        <f>V44</f>
        <v>15.847</v>
      </c>
      <c r="X44" s="23">
        <f>W44</f>
        <v>15.847</v>
      </c>
      <c r="Y44" s="23">
        <f>W44*Q44</f>
        <v>21455.094830000002</v>
      </c>
      <c r="Z44" s="23">
        <f>X44*S44</f>
        <v>23557.674789999997</v>
      </c>
      <c r="AA44" s="24"/>
      <c r="AB44" s="24"/>
      <c r="AC44" s="24"/>
      <c r="AD44" s="23">
        <f t="shared" si="16"/>
        <v>23557.69390878905</v>
      </c>
      <c r="AE44" s="23">
        <f>AD44-Z44</f>
        <v>1.911878905229969E-2</v>
      </c>
      <c r="AF44" s="15" t="s">
        <v>41</v>
      </c>
      <c r="AG44" s="15"/>
      <c r="AH44" s="44"/>
      <c r="AI44" s="44" t="s">
        <v>109</v>
      </c>
      <c r="AJ44" s="44">
        <v>18.431999999999999</v>
      </c>
      <c r="AK44" s="44"/>
      <c r="AL44" s="44"/>
      <c r="AM44" s="44"/>
      <c r="AN44" s="44">
        <f>U44*Q44</f>
        <v>21455.094830000002</v>
      </c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</row>
    <row r="45" spans="1:107" s="45" customFormat="1" ht="13" x14ac:dyDescent="0.25">
      <c r="A45" s="76" t="s">
        <v>192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15"/>
      <c r="AH45" s="44"/>
      <c r="AI45" s="44"/>
      <c r="AJ45" s="44"/>
      <c r="AK45" s="44"/>
      <c r="AL45" s="44"/>
      <c r="AM45" s="44"/>
      <c r="AN45" s="44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</row>
    <row r="46" spans="1:107" s="47" customFormat="1" ht="13" x14ac:dyDescent="0.25">
      <c r="A46" s="15">
        <v>24</v>
      </c>
      <c r="B46" s="12" t="s">
        <v>29</v>
      </c>
      <c r="C46" s="12" t="s">
        <v>83</v>
      </c>
      <c r="D46" s="15"/>
      <c r="E46" s="23">
        <v>890.95</v>
      </c>
      <c r="F46" s="23"/>
      <c r="G46" s="23">
        <v>890.95</v>
      </c>
      <c r="H46" s="23">
        <v>944.32</v>
      </c>
      <c r="I46" s="23">
        <v>996.97</v>
      </c>
      <c r="J46" s="23">
        <f>G46/E46*100</f>
        <v>100</v>
      </c>
      <c r="K46" s="23">
        <f>H46/E46*100</f>
        <v>105.99023514226387</v>
      </c>
      <c r="L46" s="23">
        <f t="shared" si="15"/>
        <v>111.89965766878052</v>
      </c>
      <c r="M46" s="23">
        <v>1148.5</v>
      </c>
      <c r="N46" s="23">
        <f t="shared" si="11"/>
        <v>115.19905313098688</v>
      </c>
      <c r="O46" s="23">
        <v>1295.29</v>
      </c>
      <c r="P46" s="23">
        <f>O46/M46*100</f>
        <v>112.78101872006965</v>
      </c>
      <c r="Q46" s="23">
        <f>O46</f>
        <v>1295.29</v>
      </c>
      <c r="R46" s="24">
        <f t="shared" si="5"/>
        <v>100</v>
      </c>
      <c r="S46" s="23">
        <f>'[6]2014 смета принятая'!$AP$70</f>
        <v>1450.7290212593653</v>
      </c>
      <c r="T46" s="24">
        <f t="shared" si="12"/>
        <v>112.00032589299424</v>
      </c>
      <c r="U46" s="23">
        <f>'[6]2014 смета принятая'!$AO$69/1000</f>
        <v>20.472000000000001</v>
      </c>
      <c r="V46" s="23">
        <f>U46</f>
        <v>20.472000000000001</v>
      </c>
      <c r="W46" s="25">
        <f>V46</f>
        <v>20.472000000000001</v>
      </c>
      <c r="X46" s="25">
        <f>W46</f>
        <v>20.472000000000001</v>
      </c>
      <c r="Y46" s="23">
        <f>W46*Q46</f>
        <v>26517.176880000003</v>
      </c>
      <c r="Z46" s="23">
        <f>X46*S46</f>
        <v>29699.324523221727</v>
      </c>
      <c r="AA46" s="23"/>
      <c r="AB46" s="23"/>
      <c r="AC46" s="23"/>
      <c r="AD46" s="23">
        <f t="shared" si="16"/>
        <v>29115.859949068228</v>
      </c>
      <c r="AE46" s="23">
        <f>AD46-Z46</f>
        <v>-583.46457415349869</v>
      </c>
      <c r="AF46" s="15" t="s">
        <v>17</v>
      </c>
      <c r="AG46" s="15"/>
      <c r="AH46" s="46"/>
      <c r="AI46" s="46" t="s">
        <v>113</v>
      </c>
      <c r="AJ46" s="46">
        <v>16.79</v>
      </c>
      <c r="AK46" s="46"/>
      <c r="AL46" s="46">
        <f>Y46*1.18</f>
        <v>31290.268718400002</v>
      </c>
      <c r="AM46" s="46">
        <f>Z46*1.18</f>
        <v>35045.202937401635</v>
      </c>
      <c r="AN46" s="46">
        <f>U46*Q46</f>
        <v>26517.176880000003</v>
      </c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</row>
    <row r="47" spans="1:107" s="47" customFormat="1" ht="25" x14ac:dyDescent="0.25">
      <c r="A47" s="15">
        <v>69</v>
      </c>
      <c r="B47" s="12" t="s">
        <v>99</v>
      </c>
      <c r="C47" s="22" t="s">
        <v>98</v>
      </c>
      <c r="D47" s="12"/>
      <c r="E47" s="73" t="s">
        <v>103</v>
      </c>
      <c r="F47" s="73"/>
      <c r="G47" s="73"/>
      <c r="H47" s="73"/>
      <c r="I47" s="73"/>
      <c r="J47" s="73"/>
      <c r="K47" s="73"/>
      <c r="L47" s="73"/>
      <c r="M47" s="33">
        <v>1249.76</v>
      </c>
      <c r="N47" s="33">
        <v>0</v>
      </c>
      <c r="O47" s="33">
        <v>1320.99</v>
      </c>
      <c r="P47" s="23">
        <f>O47/M47*100</f>
        <v>105.69949430290615</v>
      </c>
      <c r="Q47" s="24">
        <v>1320.99</v>
      </c>
      <c r="R47" s="24">
        <f>Q47/O47*100</f>
        <v>100</v>
      </c>
      <c r="S47" s="24">
        <v>1428.5</v>
      </c>
      <c r="T47" s="24">
        <f>S47/Q47*100</f>
        <v>108.13859302492827</v>
      </c>
      <c r="U47" s="23">
        <f>[16]Лист1!$AA$38/1000</f>
        <v>0.94370000000000009</v>
      </c>
      <c r="V47" s="23">
        <f>U47</f>
        <v>0.94370000000000009</v>
      </c>
      <c r="W47" s="25">
        <f>0.9437-0.773</f>
        <v>0.17069999999999996</v>
      </c>
      <c r="X47" s="25">
        <f>W47</f>
        <v>0.17069999999999996</v>
      </c>
      <c r="Y47" s="23">
        <f>W47*Q47</f>
        <v>225.49299299999996</v>
      </c>
      <c r="Z47" s="23">
        <f>X47*S47</f>
        <v>243.84494999999995</v>
      </c>
      <c r="AA47" s="24"/>
      <c r="AB47" s="24"/>
      <c r="AC47" s="24"/>
      <c r="AD47" s="23">
        <f>Q47*1.097999999*X47</f>
        <v>247.59130608850694</v>
      </c>
      <c r="AE47" s="23">
        <f>AD47-Z47</f>
        <v>3.7463560885069853</v>
      </c>
      <c r="AF47" s="15" t="s">
        <v>41</v>
      </c>
      <c r="AG47" s="15"/>
      <c r="AH47" s="46"/>
      <c r="AI47" s="46"/>
      <c r="AJ47" s="46"/>
      <c r="AK47" s="46"/>
      <c r="AL47" s="46"/>
      <c r="AM47" s="46"/>
      <c r="AN47" s="46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</row>
    <row r="48" spans="1:107" s="45" customFormat="1" ht="13" x14ac:dyDescent="0.25">
      <c r="A48" s="15">
        <v>25</v>
      </c>
      <c r="B48" s="12" t="s">
        <v>29</v>
      </c>
      <c r="C48" s="12" t="s">
        <v>4</v>
      </c>
      <c r="D48" s="15">
        <v>778.81</v>
      </c>
      <c r="E48" s="23">
        <f>D48*1.14378</f>
        <v>890.78730179999991</v>
      </c>
      <c r="F48" s="23">
        <f>E48/D48*100</f>
        <v>114.378</v>
      </c>
      <c r="G48" s="23">
        <v>890.79</v>
      </c>
      <c r="H48" s="23">
        <v>944.23</v>
      </c>
      <c r="I48" s="23">
        <v>996.6</v>
      </c>
      <c r="J48" s="23">
        <f>G48/E48*100</f>
        <v>100.00030290059081</v>
      </c>
      <c r="K48" s="23">
        <f>H48/E48*100</f>
        <v>105.99949034881944</v>
      </c>
      <c r="L48" s="23">
        <f t="shared" si="15"/>
        <v>111.8785593357905</v>
      </c>
      <c r="M48" s="24">
        <v>1146.0899999999999</v>
      </c>
      <c r="N48" s="23">
        <f t="shared" si="11"/>
        <v>114.99999999999999</v>
      </c>
      <c r="O48" s="24">
        <v>1432.17</v>
      </c>
      <c r="P48" s="23">
        <f>O48/M48*100</f>
        <v>124.96139046671728</v>
      </c>
      <c r="Q48" s="24">
        <v>1432.17</v>
      </c>
      <c r="R48" s="24">
        <f t="shared" si="5"/>
        <v>100</v>
      </c>
      <c r="S48" s="24">
        <v>1572.5227</v>
      </c>
      <c r="T48" s="24">
        <f t="shared" si="12"/>
        <v>109.80000279296451</v>
      </c>
      <c r="U48" s="23">
        <v>19.542000000000002</v>
      </c>
      <c r="V48" s="23">
        <f>U48</f>
        <v>19.542000000000002</v>
      </c>
      <c r="W48" s="25">
        <f>U48</f>
        <v>19.542000000000002</v>
      </c>
      <c r="X48" s="25">
        <f>U48</f>
        <v>19.542000000000002</v>
      </c>
      <c r="Y48" s="23">
        <f>W48*Q48</f>
        <v>27987.466140000004</v>
      </c>
      <c r="Z48" s="23">
        <f>X48*S48</f>
        <v>30730.238603400001</v>
      </c>
      <c r="AA48" s="24"/>
      <c r="AB48" s="24"/>
      <c r="AC48" s="24"/>
      <c r="AD48" s="23">
        <f t="shared" si="16"/>
        <v>30730.237541845341</v>
      </c>
      <c r="AE48" s="23">
        <f>AD48-Z48</f>
        <v>-1.0615546598273795E-3</v>
      </c>
      <c r="AF48" s="15" t="s">
        <v>17</v>
      </c>
      <c r="AG48" s="15"/>
      <c r="AH48" s="44"/>
      <c r="AI48" s="44" t="s">
        <v>136</v>
      </c>
      <c r="AJ48" s="44">
        <v>18.916</v>
      </c>
      <c r="AK48" s="44"/>
      <c r="AL48" s="44">
        <f>Y48*1.18</f>
        <v>33025.210045200001</v>
      </c>
      <c r="AM48" s="44">
        <f>Z48*1.18</f>
        <v>36261.681552012</v>
      </c>
      <c r="AN48" s="44">
        <f>U48*Q48</f>
        <v>27987.466140000004</v>
      </c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</row>
    <row r="49" spans="1:107" s="45" customFormat="1" ht="13" x14ac:dyDescent="0.25">
      <c r="A49" s="76" t="s">
        <v>193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15"/>
      <c r="AH49" s="44"/>
      <c r="AI49" s="44"/>
      <c r="AJ49" s="44"/>
      <c r="AK49" s="44"/>
      <c r="AL49" s="44"/>
      <c r="AM49" s="44"/>
      <c r="AN49" s="44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</row>
    <row r="50" spans="1:107" s="32" customFormat="1" ht="25" x14ac:dyDescent="0.25">
      <c r="A50" s="15">
        <v>26</v>
      </c>
      <c r="B50" s="12" t="s">
        <v>26</v>
      </c>
      <c r="C50" s="12" t="s">
        <v>2</v>
      </c>
      <c r="D50" s="15">
        <v>1087.1099999999999</v>
      </c>
      <c r="E50" s="15">
        <v>1243.54</v>
      </c>
      <c r="F50" s="23">
        <f>E50/D50*100</f>
        <v>114.38952819861836</v>
      </c>
      <c r="G50" s="23">
        <v>1128.4000000000001</v>
      </c>
      <c r="H50" s="23">
        <v>1196.0999999999999</v>
      </c>
      <c r="I50" s="23">
        <v>1262.6099999999999</v>
      </c>
      <c r="J50" s="23">
        <f>G50/E50*100</f>
        <v>90.740949225597902</v>
      </c>
      <c r="K50" s="23">
        <f>H50/E50*100</f>
        <v>96.185084516782723</v>
      </c>
      <c r="L50" s="23">
        <f t="shared" si="15"/>
        <v>101.53352525853612</v>
      </c>
      <c r="M50" s="23">
        <v>1454.52</v>
      </c>
      <c r="N50" s="23">
        <f t="shared" si="11"/>
        <v>115.19946776914487</v>
      </c>
      <c r="O50" s="23">
        <v>1540.33</v>
      </c>
      <c r="P50" s="23">
        <f>O50/M50*100</f>
        <v>105.89954074196297</v>
      </c>
      <c r="Q50" s="23">
        <v>1540.33</v>
      </c>
      <c r="R50" s="24">
        <f t="shared" si="5"/>
        <v>100</v>
      </c>
      <c r="S50" s="23">
        <v>1691.28</v>
      </c>
      <c r="T50" s="24">
        <f t="shared" si="12"/>
        <v>109.79984808450138</v>
      </c>
      <c r="U50" s="23">
        <f>'[7]2015'!$U$84/1000</f>
        <v>32.8748</v>
      </c>
      <c r="V50" s="23">
        <f>U50</f>
        <v>32.8748</v>
      </c>
      <c r="W50" s="25">
        <f>V50</f>
        <v>32.8748</v>
      </c>
      <c r="X50" s="25">
        <f>W50</f>
        <v>32.8748</v>
      </c>
      <c r="Y50" s="23">
        <f>W50*Q50</f>
        <v>50638.040684</v>
      </c>
      <c r="Z50" s="23">
        <f>X50*S50</f>
        <v>55600.491743999999</v>
      </c>
      <c r="AA50" s="23"/>
      <c r="AB50" s="23"/>
      <c r="AC50" s="23"/>
      <c r="AD50" s="23">
        <f t="shared" si="16"/>
        <v>55600.568164651588</v>
      </c>
      <c r="AE50" s="23">
        <f>AD50-Z50</f>
        <v>7.6420651588705368E-2</v>
      </c>
      <c r="AF50" s="15" t="s">
        <v>18</v>
      </c>
      <c r="AG50" s="15"/>
      <c r="AH50" s="31"/>
      <c r="AI50" s="31" t="s">
        <v>107</v>
      </c>
      <c r="AJ50" s="31">
        <v>44.414999999999999</v>
      </c>
      <c r="AK50" s="31"/>
      <c r="AL50" s="31"/>
      <c r="AM50" s="31"/>
      <c r="AN50" s="31">
        <f>U50*Q50</f>
        <v>50638.040684</v>
      </c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</row>
    <row r="51" spans="1:107" s="47" customFormat="1" ht="20.5" customHeight="1" x14ac:dyDescent="0.25">
      <c r="A51" s="15">
        <v>27</v>
      </c>
      <c r="B51" s="12" t="s">
        <v>26</v>
      </c>
      <c r="C51" s="12" t="s">
        <v>77</v>
      </c>
      <c r="D51" s="15">
        <v>987.22</v>
      </c>
      <c r="E51" s="23">
        <v>1053.8499999999999</v>
      </c>
      <c r="F51" s="23">
        <f>E51/D51*100</f>
        <v>106.74925548509957</v>
      </c>
      <c r="G51" s="23">
        <v>1053.8499999999999</v>
      </c>
      <c r="H51" s="23">
        <v>1117.08</v>
      </c>
      <c r="I51" s="23">
        <v>1179.24</v>
      </c>
      <c r="J51" s="23">
        <f>G51/E51*100</f>
        <v>100</v>
      </c>
      <c r="K51" s="23">
        <f>H51/E51*100</f>
        <v>105.99990510983537</v>
      </c>
      <c r="L51" s="23">
        <f t="shared" si="15"/>
        <v>111.89827774351188</v>
      </c>
      <c r="M51" s="23">
        <v>1358.48</v>
      </c>
      <c r="N51" s="23">
        <f t="shared" si="11"/>
        <v>115.19962009429803</v>
      </c>
      <c r="O51" s="23">
        <v>1438.63</v>
      </c>
      <c r="P51" s="23">
        <f>O51/M51*100</f>
        <v>105.89997644426123</v>
      </c>
      <c r="Q51" s="23">
        <f>O51</f>
        <v>1438.63</v>
      </c>
      <c r="R51" s="24">
        <f t="shared" si="5"/>
        <v>100</v>
      </c>
      <c r="S51" s="23">
        <f>'[8]2015'!$AA$65</f>
        <v>1579.6162792345804</v>
      </c>
      <c r="T51" s="24">
        <f t="shared" si="12"/>
        <v>109.80003748250628</v>
      </c>
      <c r="U51" s="23">
        <f>14.468</f>
        <v>14.468</v>
      </c>
      <c r="V51" s="23">
        <f>U51</f>
        <v>14.468</v>
      </c>
      <c r="W51" s="25">
        <v>14.468</v>
      </c>
      <c r="X51" s="25">
        <f>W51</f>
        <v>14.468</v>
      </c>
      <c r="Y51" s="23">
        <f>W51*Q51</f>
        <v>20814.098840000002</v>
      </c>
      <c r="Z51" s="23">
        <f>X51*S51</f>
        <v>22853.888327965909</v>
      </c>
      <c r="AA51" s="23"/>
      <c r="AB51" s="23"/>
      <c r="AC51" s="23"/>
      <c r="AD51" s="23">
        <f t="shared" si="16"/>
        <v>22853.880318179014</v>
      </c>
      <c r="AE51" s="23">
        <f>AD51-Z51</f>
        <v>-8.0097868958546314E-3</v>
      </c>
      <c r="AF51" s="15" t="s">
        <v>38</v>
      </c>
      <c r="AG51" s="15"/>
      <c r="AH51" s="46"/>
      <c r="AI51" s="46" t="s">
        <v>108</v>
      </c>
      <c r="AJ51" s="46">
        <v>11.04</v>
      </c>
      <c r="AK51" s="46"/>
      <c r="AL51" s="46">
        <f>Y51*1.18</f>
        <v>24560.636631200003</v>
      </c>
      <c r="AM51" s="46">
        <f>Z51*1.18</f>
        <v>26967.588226999771</v>
      </c>
      <c r="AN51" s="46">
        <f>U51*Q51</f>
        <v>20814.098840000002</v>
      </c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</row>
    <row r="52" spans="1:107" s="50" customFormat="1" ht="24.65" customHeight="1" x14ac:dyDescent="0.25">
      <c r="A52" s="15">
        <v>28</v>
      </c>
      <c r="B52" s="12" t="s">
        <v>26</v>
      </c>
      <c r="C52" s="12" t="s">
        <v>78</v>
      </c>
      <c r="D52" s="15">
        <v>931.02</v>
      </c>
      <c r="E52" s="23">
        <f>D52*1.14378</f>
        <v>1064.8820556000001</v>
      </c>
      <c r="F52" s="23">
        <f>E52/D52*100</f>
        <v>114.378</v>
      </c>
      <c r="G52" s="23">
        <v>1064.8800000000001</v>
      </c>
      <c r="H52" s="23">
        <v>1128.77</v>
      </c>
      <c r="I52" s="23">
        <v>1191.5999999999999</v>
      </c>
      <c r="J52" s="23">
        <f>G52/E52*100</f>
        <v>99.999806964537612</v>
      </c>
      <c r="K52" s="23">
        <f>H52/E52*100</f>
        <v>105.99953244249221</v>
      </c>
      <c r="L52" s="23">
        <f t="shared" si="15"/>
        <v>111.89971638019588</v>
      </c>
      <c r="M52" s="23">
        <v>1364.38</v>
      </c>
      <c r="N52" s="23">
        <f t="shared" si="11"/>
        <v>114.49983215844244</v>
      </c>
      <c r="O52" s="23">
        <v>1444.8</v>
      </c>
      <c r="P52" s="23">
        <f>O52/M52*100</f>
        <v>105.89425233439363</v>
      </c>
      <c r="Q52" s="23">
        <v>1444.8</v>
      </c>
      <c r="R52" s="24">
        <f t="shared" si="5"/>
        <v>100</v>
      </c>
      <c r="S52" s="23">
        <v>1585.94</v>
      </c>
      <c r="T52" s="24">
        <f t="shared" si="12"/>
        <v>109.76882613510521</v>
      </c>
      <c r="U52" s="23">
        <v>40.702800000000003</v>
      </c>
      <c r="V52" s="23">
        <f>U52</f>
        <v>40.702800000000003</v>
      </c>
      <c r="W52" s="25">
        <f>V52</f>
        <v>40.702800000000003</v>
      </c>
      <c r="X52" s="25">
        <f>W52</f>
        <v>40.702800000000003</v>
      </c>
      <c r="Y52" s="23">
        <f>W52*Q52</f>
        <v>58807.405440000002</v>
      </c>
      <c r="Z52" s="23">
        <f>X52*S52</f>
        <v>64552.198632000007</v>
      </c>
      <c r="AA52" s="23"/>
      <c r="AB52" s="23"/>
      <c r="AC52" s="23"/>
      <c r="AD52" s="23">
        <f>Q52*1.0979999*X52</f>
        <v>64570.525292379461</v>
      </c>
      <c r="AE52" s="23">
        <f>AD52-Z52</f>
        <v>18.326660379454552</v>
      </c>
      <c r="AF52" s="15" t="s">
        <v>18</v>
      </c>
      <c r="AG52" s="15"/>
      <c r="AH52" s="48"/>
      <c r="AI52" s="48" t="s">
        <v>113</v>
      </c>
      <c r="AJ52" s="48">
        <v>45.475999999999999</v>
      </c>
      <c r="AK52" s="48"/>
      <c r="AL52" s="48"/>
      <c r="AM52" s="48"/>
      <c r="AN52" s="48">
        <f>U52*Q52</f>
        <v>58807.405440000002</v>
      </c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</row>
    <row r="53" spans="1:107" s="45" customFormat="1" ht="25" x14ac:dyDescent="0.25">
      <c r="A53" s="15">
        <v>29</v>
      </c>
      <c r="B53" s="12" t="s">
        <v>26</v>
      </c>
      <c r="C53" s="12" t="s">
        <v>57</v>
      </c>
      <c r="D53" s="15">
        <v>1106.71</v>
      </c>
      <c r="E53" s="15">
        <v>1266.05</v>
      </c>
      <c r="F53" s="23">
        <f>E53/D53*100</f>
        <v>114.39762900850268</v>
      </c>
      <c r="G53" s="23">
        <v>1266.05</v>
      </c>
      <c r="H53" s="23">
        <v>1342.01</v>
      </c>
      <c r="I53" s="23">
        <v>1416.6</v>
      </c>
      <c r="J53" s="23">
        <f>G53/E53*100</f>
        <v>100</v>
      </c>
      <c r="K53" s="23">
        <f>H53/E53*100</f>
        <v>105.99976304253387</v>
      </c>
      <c r="L53" s="23">
        <f t="shared" si="15"/>
        <v>111.89131550886616</v>
      </c>
      <c r="M53" s="33">
        <v>1595.07</v>
      </c>
      <c r="N53" s="23">
        <f t="shared" si="11"/>
        <v>112.59847522236342</v>
      </c>
      <c r="O53" s="33">
        <v>1666.27</v>
      </c>
      <c r="P53" s="23">
        <f>O53/M53*100</f>
        <v>104.46375394183328</v>
      </c>
      <c r="Q53" s="24">
        <v>1666.27</v>
      </c>
      <c r="R53" s="24">
        <f t="shared" si="5"/>
        <v>100</v>
      </c>
      <c r="S53" s="24">
        <v>1782.09</v>
      </c>
      <c r="T53" s="24">
        <f t="shared" si="12"/>
        <v>106.95085430332418</v>
      </c>
      <c r="U53" s="23">
        <v>1.5964</v>
      </c>
      <c r="V53" s="23">
        <f>U53</f>
        <v>1.5964</v>
      </c>
      <c r="W53" s="23">
        <v>0.71730000000000005</v>
      </c>
      <c r="X53" s="23">
        <f>W53</f>
        <v>0.71730000000000005</v>
      </c>
      <c r="Y53" s="23">
        <f>W53*Q53</f>
        <v>1195.215471</v>
      </c>
      <c r="Z53" s="23">
        <f>X53*S53</f>
        <v>1278.2931570000001</v>
      </c>
      <c r="AA53" s="24"/>
      <c r="AB53" s="24"/>
      <c r="AC53" s="24"/>
      <c r="AD53" s="23">
        <f>Q53*1.09799999*X53</f>
        <v>1312.3465752058453</v>
      </c>
      <c r="AE53" s="23">
        <f>AD53-Z53</f>
        <v>34.053418205845219</v>
      </c>
      <c r="AF53" s="15" t="s">
        <v>18</v>
      </c>
      <c r="AG53" s="15"/>
      <c r="AH53" s="44"/>
      <c r="AI53" s="44" t="s">
        <v>107</v>
      </c>
      <c r="AJ53" s="44">
        <v>2.5350000000000001</v>
      </c>
      <c r="AK53" s="44"/>
      <c r="AL53" s="44"/>
      <c r="AM53" s="44"/>
      <c r="AN53" s="44">
        <f>U53*Q53</f>
        <v>2660.0334280000002</v>
      </c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</row>
    <row r="54" spans="1:107" s="45" customFormat="1" ht="40.15" customHeight="1" x14ac:dyDescent="0.25">
      <c r="A54" s="15">
        <v>73</v>
      </c>
      <c r="B54" s="12" t="s">
        <v>26</v>
      </c>
      <c r="C54" s="51" t="s">
        <v>132</v>
      </c>
      <c r="D54" s="22"/>
      <c r="E54" s="22"/>
      <c r="F54" s="22"/>
      <c r="G54" s="22"/>
      <c r="H54" s="22"/>
      <c r="I54" s="33">
        <v>1486.96</v>
      </c>
      <c r="J54" s="22"/>
      <c r="K54" s="22"/>
      <c r="L54" s="22"/>
      <c r="M54" s="33">
        <v>1486.96</v>
      </c>
      <c r="N54" s="24">
        <f>M54/I54*100</f>
        <v>100</v>
      </c>
      <c r="O54" s="33">
        <v>1814.03</v>
      </c>
      <c r="P54" s="23">
        <f>O54/M54*100</f>
        <v>121.99588422015385</v>
      </c>
      <c r="Q54" s="24">
        <v>1814.03</v>
      </c>
      <c r="R54" s="24">
        <f>Q54/O54*100</f>
        <v>100</v>
      </c>
      <c r="S54" s="24">
        <v>1991.58</v>
      </c>
      <c r="T54" s="24">
        <f>S54/Q54*100</f>
        <v>109.78759998456475</v>
      </c>
      <c r="U54" s="23">
        <f>(1121.17+1029.97)/1000</f>
        <v>2.1511400000000003</v>
      </c>
      <c r="V54" s="23">
        <f>U54</f>
        <v>2.1511400000000003</v>
      </c>
      <c r="W54" s="25">
        <f>(1121.17+1029.97)/1000</f>
        <v>2.1511400000000003</v>
      </c>
      <c r="X54" s="25">
        <f>W54</f>
        <v>2.1511400000000003</v>
      </c>
      <c r="Y54" s="23">
        <f>W54*Q54</f>
        <v>3902.2324942000005</v>
      </c>
      <c r="Z54" s="23">
        <f>X54*S54</f>
        <v>4284.1674012000003</v>
      </c>
      <c r="AA54" s="24"/>
      <c r="AB54" s="24"/>
      <c r="AC54" s="24"/>
      <c r="AD54" s="23">
        <f>Q54*1.09799999*X54</f>
        <v>4284.6512396092749</v>
      </c>
      <c r="AE54" s="23">
        <f>AD54-Z54</f>
        <v>0.48383840927454003</v>
      </c>
      <c r="AF54" s="15" t="s">
        <v>17</v>
      </c>
      <c r="AG54" s="15"/>
      <c r="AH54" s="44"/>
      <c r="AI54" s="44"/>
      <c r="AJ54" s="44"/>
      <c r="AK54" s="44"/>
      <c r="AL54" s="44"/>
      <c r="AM54" s="44"/>
      <c r="AN54" s="44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</row>
    <row r="55" spans="1:107" s="45" customFormat="1" ht="19.149999999999999" customHeight="1" x14ac:dyDescent="0.25">
      <c r="A55" s="76" t="s">
        <v>195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15"/>
      <c r="AH55" s="44"/>
      <c r="AI55" s="44"/>
      <c r="AJ55" s="44"/>
      <c r="AK55" s="44"/>
      <c r="AL55" s="44"/>
      <c r="AM55" s="44"/>
      <c r="AN55" s="44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</row>
    <row r="56" spans="1:107" s="45" customFormat="1" x14ac:dyDescent="0.25">
      <c r="A56" s="15">
        <v>32</v>
      </c>
      <c r="B56" s="12" t="s">
        <v>23</v>
      </c>
      <c r="C56" s="12" t="s">
        <v>43</v>
      </c>
      <c r="D56" s="15">
        <v>936.54</v>
      </c>
      <c r="E56" s="15">
        <v>1070.75</v>
      </c>
      <c r="F56" s="23">
        <v>114.33040767078822</v>
      </c>
      <c r="G56" s="23">
        <v>1070.75</v>
      </c>
      <c r="H56" s="23">
        <v>1134.18</v>
      </c>
      <c r="I56" s="23">
        <v>1178.23</v>
      </c>
      <c r="J56" s="23">
        <v>100</v>
      </c>
      <c r="K56" s="23">
        <v>105.92388512724726</v>
      </c>
      <c r="L56" s="23">
        <v>110.0378239551716</v>
      </c>
      <c r="M56" s="33">
        <v>1357.32</v>
      </c>
      <c r="N56" s="23">
        <v>115.19991852185056</v>
      </c>
      <c r="O56" s="33">
        <v>1437.4</v>
      </c>
      <c r="P56" s="23">
        <v>105.8998614917632</v>
      </c>
      <c r="Q56" s="24">
        <v>1437.4</v>
      </c>
      <c r="R56" s="24">
        <v>100</v>
      </c>
      <c r="S56" s="24">
        <v>1578.26</v>
      </c>
      <c r="T56" s="24">
        <v>109.79963823570336</v>
      </c>
      <c r="U56" s="23">
        <v>103.292</v>
      </c>
      <c r="V56" s="23">
        <v>103.292</v>
      </c>
      <c r="W56" s="23">
        <v>103.292</v>
      </c>
      <c r="X56" s="23">
        <v>103.292</v>
      </c>
      <c r="Y56" s="23">
        <v>148471.92080000002</v>
      </c>
      <c r="Z56" s="23">
        <v>163021.63192000001</v>
      </c>
      <c r="AA56" s="24"/>
      <c r="AB56" s="24"/>
      <c r="AC56" s="24"/>
      <c r="AD56" s="23">
        <v>163022.16888992809</v>
      </c>
      <c r="AE56" s="23">
        <v>0.53696992807090282</v>
      </c>
      <c r="AF56" s="15" t="s">
        <v>38</v>
      </c>
      <c r="AG56" s="15"/>
      <c r="AH56" s="44"/>
      <c r="AI56" s="44"/>
      <c r="AJ56" s="44"/>
      <c r="AK56" s="44"/>
      <c r="AL56" s="44"/>
      <c r="AM56" s="44"/>
      <c r="AN56" s="44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</row>
    <row r="57" spans="1:107" s="45" customFormat="1" ht="13" x14ac:dyDescent="0.25">
      <c r="A57" s="76" t="s">
        <v>28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15"/>
      <c r="AH57" s="44"/>
      <c r="AI57" s="44"/>
      <c r="AJ57" s="44"/>
      <c r="AK57" s="44"/>
      <c r="AL57" s="44"/>
      <c r="AM57" s="44"/>
      <c r="AN57" s="44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</row>
    <row r="58" spans="1:107" s="45" customFormat="1" ht="25" x14ac:dyDescent="0.25">
      <c r="A58" s="15">
        <v>33</v>
      </c>
      <c r="B58" s="12" t="s">
        <v>28</v>
      </c>
      <c r="C58" s="12" t="s">
        <v>3</v>
      </c>
      <c r="D58" s="15">
        <v>978.76</v>
      </c>
      <c r="E58" s="15">
        <v>1119.5999999999999</v>
      </c>
      <c r="F58" s="23">
        <v>114.38963586578936</v>
      </c>
      <c r="G58" s="23">
        <v>1119.5999999999999</v>
      </c>
      <c r="H58" s="23">
        <v>1186.74</v>
      </c>
      <c r="I58" s="23">
        <v>1252.83</v>
      </c>
      <c r="J58" s="23">
        <v>100</v>
      </c>
      <c r="K58" s="23">
        <v>105.99678456591641</v>
      </c>
      <c r="L58" s="23">
        <v>111.89978563772776</v>
      </c>
      <c r="M58" s="33">
        <v>1441.7</v>
      </c>
      <c r="N58" s="23">
        <v>115.07546913787188</v>
      </c>
      <c r="O58" s="33">
        <v>1523.86</v>
      </c>
      <c r="P58" s="23">
        <v>105.69882777276824</v>
      </c>
      <c r="Q58" s="24">
        <v>1523.86</v>
      </c>
      <c r="R58" s="24">
        <v>100</v>
      </c>
      <c r="S58" s="24">
        <v>1673.19</v>
      </c>
      <c r="T58" s="24">
        <v>109.79945664299871</v>
      </c>
      <c r="U58" s="23">
        <v>15.692</v>
      </c>
      <c r="V58" s="23">
        <v>15.692</v>
      </c>
      <c r="W58" s="23">
        <v>15.692</v>
      </c>
      <c r="X58" s="23">
        <v>15.692</v>
      </c>
      <c r="Y58" s="23">
        <v>23912.411119999997</v>
      </c>
      <c r="Z58" s="23">
        <v>26255.697480000003</v>
      </c>
      <c r="AA58" s="24"/>
      <c r="AB58" s="24"/>
      <c r="AC58" s="24"/>
      <c r="AD58" s="23">
        <v>26255.827170635886</v>
      </c>
      <c r="AE58" s="23">
        <v>0.12969063588388963</v>
      </c>
      <c r="AF58" s="15" t="s">
        <v>18</v>
      </c>
      <c r="AG58" s="15"/>
      <c r="AH58" s="44"/>
      <c r="AI58" s="44"/>
      <c r="AJ58" s="44"/>
      <c r="AK58" s="44"/>
      <c r="AL58" s="44"/>
      <c r="AM58" s="44"/>
      <c r="AN58" s="44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</row>
    <row r="59" spans="1:107" s="45" customFormat="1" ht="13" x14ac:dyDescent="0.25">
      <c r="A59" s="76" t="s">
        <v>196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15"/>
      <c r="AH59" s="44"/>
      <c r="AI59" s="44"/>
      <c r="AJ59" s="44"/>
      <c r="AK59" s="44"/>
      <c r="AL59" s="44"/>
      <c r="AM59" s="44"/>
      <c r="AN59" s="44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</row>
    <row r="60" spans="1:107" s="45" customFormat="1" ht="25" x14ac:dyDescent="0.25">
      <c r="A60" s="15">
        <v>34</v>
      </c>
      <c r="B60" s="12" t="s">
        <v>31</v>
      </c>
      <c r="C60" s="12" t="s">
        <v>140</v>
      </c>
      <c r="D60" s="15">
        <v>795.04859999999996</v>
      </c>
      <c r="E60" s="15">
        <v>909.4</v>
      </c>
      <c r="F60" s="23">
        <v>909.4</v>
      </c>
      <c r="G60" s="23">
        <v>909.4</v>
      </c>
      <c r="H60" s="23">
        <v>963.96</v>
      </c>
      <c r="I60" s="23">
        <v>1017.61</v>
      </c>
      <c r="J60" s="23">
        <v>100</v>
      </c>
      <c r="K60" s="23">
        <v>105.99956014954917</v>
      </c>
      <c r="L60" s="23">
        <v>111.89905432153068</v>
      </c>
      <c r="M60" s="33">
        <v>1170.25</v>
      </c>
      <c r="N60" s="23">
        <v>114.99985259578818</v>
      </c>
      <c r="O60" s="33">
        <v>1237.29</v>
      </c>
      <c r="P60" s="23">
        <v>105.72869045075839</v>
      </c>
      <c r="Q60" s="24">
        <v>1237.29</v>
      </c>
      <c r="R60" s="24">
        <v>100</v>
      </c>
      <c r="S60" s="24">
        <v>1358.54</v>
      </c>
      <c r="T60" s="24">
        <v>109.79964276766158</v>
      </c>
      <c r="U60" s="23">
        <v>22.218</v>
      </c>
      <c r="V60" s="23">
        <v>22.218</v>
      </c>
      <c r="W60" s="23">
        <v>22.085999999999999</v>
      </c>
      <c r="X60" s="23">
        <v>22.085999999999999</v>
      </c>
      <c r="Y60" s="23">
        <v>27326.786939999998</v>
      </c>
      <c r="Z60" s="23">
        <v>30004.714439999996</v>
      </c>
      <c r="AA60" s="24"/>
      <c r="AB60" s="24"/>
      <c r="AC60" s="24"/>
      <c r="AD60" s="23">
        <v>30004.8093274413</v>
      </c>
      <c r="AE60" s="23">
        <v>9.4887441304308595E-2</v>
      </c>
      <c r="AF60" s="15" t="s">
        <v>18</v>
      </c>
      <c r="AG60" s="15"/>
      <c r="AH60" s="44"/>
      <c r="AI60" s="44"/>
      <c r="AJ60" s="44"/>
      <c r="AK60" s="44"/>
      <c r="AL60" s="44"/>
      <c r="AM60" s="44"/>
      <c r="AN60" s="44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</row>
    <row r="61" spans="1:107" s="45" customFormat="1" ht="13" x14ac:dyDescent="0.25">
      <c r="A61" s="76" t="s">
        <v>197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15"/>
      <c r="AH61" s="44"/>
      <c r="AI61" s="44"/>
      <c r="AJ61" s="44"/>
      <c r="AK61" s="44"/>
      <c r="AL61" s="44"/>
      <c r="AM61" s="44"/>
      <c r="AN61" s="44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</row>
    <row r="62" spans="1:107" s="45" customFormat="1" ht="25" x14ac:dyDescent="0.25">
      <c r="A62" s="15">
        <v>35</v>
      </c>
      <c r="B62" s="12" t="s">
        <v>30</v>
      </c>
      <c r="C62" s="12" t="s">
        <v>5</v>
      </c>
      <c r="D62" s="15">
        <v>1105.56</v>
      </c>
      <c r="E62" s="15">
        <v>1260.3</v>
      </c>
      <c r="F62" s="23">
        <v>113.99652664712904</v>
      </c>
      <c r="G62" s="23">
        <v>1260.3</v>
      </c>
      <c r="H62" s="23">
        <v>1335.9</v>
      </c>
      <c r="I62" s="23">
        <v>1409.53</v>
      </c>
      <c r="J62" s="23">
        <v>100</v>
      </c>
      <c r="K62" s="23">
        <v>105.99857176862653</v>
      </c>
      <c r="L62" s="23">
        <v>111.84083154804412</v>
      </c>
      <c r="M62" s="33">
        <v>1601.53</v>
      </c>
      <c r="N62" s="23">
        <v>113.6215617971948</v>
      </c>
      <c r="O62" s="33">
        <v>1692.82</v>
      </c>
      <c r="P62" s="23">
        <v>105.7001742084132</v>
      </c>
      <c r="Q62" s="24">
        <v>1692.82</v>
      </c>
      <c r="R62" s="24">
        <v>100</v>
      </c>
      <c r="S62" s="24">
        <v>1858.71</v>
      </c>
      <c r="T62" s="24">
        <v>109.79962429555417</v>
      </c>
      <c r="U62" s="23">
        <v>28.864999999999998</v>
      </c>
      <c r="V62" s="23">
        <v>28.864999999999998</v>
      </c>
      <c r="W62" s="23">
        <v>28.864000000000001</v>
      </c>
      <c r="X62" s="23">
        <v>28.864000000000001</v>
      </c>
      <c r="Y62" s="23">
        <v>48861.556479999999</v>
      </c>
      <c r="Z62" s="23">
        <v>53649.805440000004</v>
      </c>
      <c r="AA62" s="24"/>
      <c r="AB62" s="24"/>
      <c r="AC62" s="24"/>
      <c r="AD62" s="23">
        <v>53649.989010153848</v>
      </c>
      <c r="AE62" s="23">
        <v>0.18357015384390252</v>
      </c>
      <c r="AF62" s="15" t="s">
        <v>18</v>
      </c>
      <c r="AG62" s="15"/>
      <c r="AH62" s="44"/>
      <c r="AI62" s="44"/>
      <c r="AJ62" s="44"/>
      <c r="AK62" s="44"/>
      <c r="AL62" s="44"/>
      <c r="AM62" s="44"/>
      <c r="AN62" s="44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</row>
    <row r="63" spans="1:107" s="45" customFormat="1" ht="13" x14ac:dyDescent="0.25">
      <c r="A63" s="76" t="s">
        <v>221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15"/>
      <c r="AH63" s="44"/>
      <c r="AI63" s="44"/>
      <c r="AJ63" s="44"/>
      <c r="AK63" s="44"/>
      <c r="AL63" s="44"/>
      <c r="AM63" s="44"/>
      <c r="AN63" s="44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</row>
    <row r="64" spans="1:107" s="45" customFormat="1" ht="25" x14ac:dyDescent="0.25">
      <c r="A64" s="15">
        <v>65</v>
      </c>
      <c r="B64" s="12" t="s">
        <v>56</v>
      </c>
      <c r="C64" s="12" t="s">
        <v>89</v>
      </c>
      <c r="D64" s="15">
        <v>957.92399999999986</v>
      </c>
      <c r="E64" s="15" t="s">
        <v>64</v>
      </c>
      <c r="F64" s="23" t="e">
        <v>#VALUE!</v>
      </c>
      <c r="G64" s="23">
        <v>1077.02</v>
      </c>
      <c r="H64" s="23">
        <v>1141.6300000000001</v>
      </c>
      <c r="I64" s="23">
        <v>1204.95</v>
      </c>
      <c r="J64" s="23">
        <v>0</v>
      </c>
      <c r="K64" s="23">
        <v>105.99896009359159</v>
      </c>
      <c r="L64" s="23">
        <v>0</v>
      </c>
      <c r="M64" s="33">
        <v>1388.1</v>
      </c>
      <c r="N64" s="23">
        <v>100</v>
      </c>
      <c r="O64" s="33">
        <v>1216.22</v>
      </c>
      <c r="P64" s="23">
        <v>87.617606800662784</v>
      </c>
      <c r="Q64" s="24">
        <v>1216.22</v>
      </c>
      <c r="R64" s="24">
        <v>100</v>
      </c>
      <c r="S64" s="24">
        <v>1335.4</v>
      </c>
      <c r="T64" s="24">
        <v>109.79921395800103</v>
      </c>
      <c r="U64" s="23">
        <v>43.790999999999997</v>
      </c>
      <c r="V64" s="23">
        <v>43.790999999999997</v>
      </c>
      <c r="W64" s="23">
        <v>43.790999999999997</v>
      </c>
      <c r="X64" s="23">
        <v>43.790999999999997</v>
      </c>
      <c r="Y64" s="23">
        <v>53259.490019999997</v>
      </c>
      <c r="Z64" s="23">
        <v>58478.501400000001</v>
      </c>
      <c r="AA64" s="24"/>
      <c r="AB64" s="24"/>
      <c r="AC64" s="24"/>
      <c r="AD64" s="23">
        <v>58478.920036634052</v>
      </c>
      <c r="AE64" s="23">
        <v>0.41863663405092666</v>
      </c>
      <c r="AF64" s="15" t="s">
        <v>41</v>
      </c>
      <c r="AG64" s="15"/>
      <c r="AH64" s="44"/>
      <c r="AI64" s="44"/>
      <c r="AJ64" s="44"/>
      <c r="AK64" s="44"/>
      <c r="AL64" s="44"/>
      <c r="AM64" s="44"/>
      <c r="AN64" s="44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</row>
    <row r="65" spans="1:107" s="45" customFormat="1" ht="13" x14ac:dyDescent="0.25">
      <c r="A65" s="76" t="s">
        <v>194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15"/>
      <c r="AH65" s="44"/>
      <c r="AI65" s="44"/>
      <c r="AJ65" s="44"/>
      <c r="AK65" s="44"/>
      <c r="AL65" s="44"/>
      <c r="AM65" s="44"/>
      <c r="AN65" s="44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</row>
    <row r="66" spans="1:107" s="35" customFormat="1" ht="25" x14ac:dyDescent="0.25">
      <c r="A66" s="15">
        <v>30</v>
      </c>
      <c r="B66" s="12" t="s">
        <v>222</v>
      </c>
      <c r="C66" s="12" t="s">
        <v>155</v>
      </c>
      <c r="D66" s="15"/>
      <c r="E66" s="15"/>
      <c r="F66" s="23"/>
      <c r="G66" s="23"/>
      <c r="H66" s="23"/>
      <c r="I66" s="23"/>
      <c r="J66" s="23"/>
      <c r="K66" s="23"/>
      <c r="L66" s="23"/>
      <c r="M66" s="33"/>
      <c r="N66" s="23"/>
      <c r="O66" s="33">
        <v>1880.83</v>
      </c>
      <c r="P66" s="23" t="e">
        <f>O66/M66*100</f>
        <v>#DIV/0!</v>
      </c>
      <c r="Q66" s="24">
        <v>1880.83</v>
      </c>
      <c r="R66" s="24">
        <f>Q66/O66*100</f>
        <v>100</v>
      </c>
      <c r="S66" s="24">
        <v>2064.9699999999998</v>
      </c>
      <c r="T66" s="24">
        <f t="shared" si="12"/>
        <v>109.79035851193355</v>
      </c>
      <c r="U66" s="23">
        <v>0.434</v>
      </c>
      <c r="V66" s="23">
        <f>U66</f>
        <v>0.434</v>
      </c>
      <c r="W66" s="25">
        <f>V66-0.0029</f>
        <v>0.43109999999999998</v>
      </c>
      <c r="X66" s="25">
        <f>W66</f>
        <v>0.43109999999999998</v>
      </c>
      <c r="Y66" s="23">
        <f>W66*Q66</f>
        <v>810.82581299999993</v>
      </c>
      <c r="Z66" s="23">
        <f>X66*S66</f>
        <v>890.2085669999999</v>
      </c>
      <c r="AA66" s="24"/>
      <c r="AB66" s="24"/>
      <c r="AC66" s="24"/>
      <c r="AD66" s="23">
        <f>Q66*1.0979999*X66</f>
        <v>890.28666159141858</v>
      </c>
      <c r="AE66" s="23">
        <f>AD66-Z66</f>
        <v>7.8094591418675918E-2</v>
      </c>
      <c r="AF66" s="15" t="s">
        <v>18</v>
      </c>
      <c r="AG66" s="15"/>
      <c r="AH66" s="34"/>
      <c r="AI66" s="34"/>
      <c r="AJ66" s="34"/>
      <c r="AK66" s="34"/>
      <c r="AL66" s="34"/>
      <c r="AM66" s="34"/>
      <c r="AN66" s="34">
        <f>U66*Q66</f>
        <v>816.28021999999999</v>
      </c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</row>
    <row r="67" spans="1:107" s="35" customFormat="1" ht="25" x14ac:dyDescent="0.25">
      <c r="A67" s="15">
        <v>31</v>
      </c>
      <c r="B67" s="12" t="s">
        <v>157</v>
      </c>
      <c r="C67" s="12" t="s">
        <v>156</v>
      </c>
      <c r="D67" s="15"/>
      <c r="E67" s="15"/>
      <c r="F67" s="23"/>
      <c r="G67" s="23"/>
      <c r="H67" s="23"/>
      <c r="I67" s="23"/>
      <c r="J67" s="23"/>
      <c r="K67" s="23"/>
      <c r="L67" s="23"/>
      <c r="M67" s="33"/>
      <c r="N67" s="23"/>
      <c r="O67" s="33">
        <v>866.49</v>
      </c>
      <c r="P67" s="23" t="e">
        <f>O67/M67*100</f>
        <v>#DIV/0!</v>
      </c>
      <c r="Q67" s="24">
        <v>866.49</v>
      </c>
      <c r="R67" s="24">
        <f>Q67/O67*100</f>
        <v>100</v>
      </c>
      <c r="S67" s="24">
        <v>951.4</v>
      </c>
      <c r="T67" s="24">
        <f t="shared" si="12"/>
        <v>109.79930524299184</v>
      </c>
      <c r="U67" s="23">
        <v>1.0840000000000001</v>
      </c>
      <c r="V67" s="23">
        <f>U67</f>
        <v>1.0840000000000001</v>
      </c>
      <c r="W67" s="25">
        <f>V67-0.0294</f>
        <v>1.0546</v>
      </c>
      <c r="X67" s="25">
        <f>W67</f>
        <v>1.0546</v>
      </c>
      <c r="Y67" s="23">
        <f>W67*Q67</f>
        <v>913.80035399999997</v>
      </c>
      <c r="Z67" s="23">
        <f>X67*S67</f>
        <v>1003.3464399999999</v>
      </c>
      <c r="AA67" s="24"/>
      <c r="AB67" s="24"/>
      <c r="AC67" s="24"/>
      <c r="AD67" s="23">
        <f>Q67*1.0979999*X67</f>
        <v>1003.3526973119647</v>
      </c>
      <c r="AE67" s="23">
        <f>AD67-Z67</f>
        <v>6.2573119647595377E-3</v>
      </c>
      <c r="AF67" s="15" t="s">
        <v>18</v>
      </c>
      <c r="AG67" s="15"/>
      <c r="AH67" s="34"/>
      <c r="AI67" s="34"/>
      <c r="AJ67" s="34"/>
      <c r="AK67" s="34"/>
      <c r="AL67" s="34"/>
      <c r="AM67" s="34"/>
      <c r="AN67" s="34">
        <f>U67*Q67</f>
        <v>939.27516000000003</v>
      </c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</row>
    <row r="68" spans="1:107" s="35" customFormat="1" ht="37.5" x14ac:dyDescent="0.25">
      <c r="A68" s="15">
        <v>72</v>
      </c>
      <c r="B68" s="12" t="s">
        <v>223</v>
      </c>
      <c r="C68" s="51" t="s">
        <v>131</v>
      </c>
      <c r="D68" s="22"/>
      <c r="E68" s="22"/>
      <c r="F68" s="22"/>
      <c r="G68" s="22"/>
      <c r="H68" s="22"/>
      <c r="I68" s="33">
        <v>566.51</v>
      </c>
      <c r="J68" s="22"/>
      <c r="K68" s="22"/>
      <c r="L68" s="22"/>
      <c r="M68" s="33">
        <v>566.51</v>
      </c>
      <c r="N68" s="24">
        <f>M68/I68*100</f>
        <v>100</v>
      </c>
      <c r="O68" s="33">
        <v>691.11</v>
      </c>
      <c r="P68" s="23">
        <f>O68/M68*100</f>
        <v>121.9943160756209</v>
      </c>
      <c r="Q68" s="24">
        <v>691.11</v>
      </c>
      <c r="R68" s="24">
        <f>Q68/O68*100</f>
        <v>100</v>
      </c>
      <c r="S68" s="24">
        <v>758.81</v>
      </c>
      <c r="T68" s="24">
        <f>S68/Q68*100</f>
        <v>109.79583568462328</v>
      </c>
      <c r="U68" s="23">
        <f>(8.28+8035.65)/1000</f>
        <v>8.0439299999999996</v>
      </c>
      <c r="V68" s="23">
        <f>U68</f>
        <v>8.0439299999999996</v>
      </c>
      <c r="W68" s="25">
        <f>(8.28+8035.65)/1000</f>
        <v>8.0439299999999996</v>
      </c>
      <c r="X68" s="25">
        <f>W68</f>
        <v>8.0439299999999996</v>
      </c>
      <c r="Y68" s="23">
        <f>W68*Q68</f>
        <v>5559.2404623000002</v>
      </c>
      <c r="Z68" s="23">
        <f>X68*S68</f>
        <v>6103.8145232999996</v>
      </c>
      <c r="AA68" s="24"/>
      <c r="AB68" s="24"/>
      <c r="AC68" s="24"/>
      <c r="AD68" s="23">
        <f>Q68*1.09799999*X68</f>
        <v>6104.0459720129948</v>
      </c>
      <c r="AE68" s="23">
        <f>AD68-Z68</f>
        <v>0.23144871299518854</v>
      </c>
      <c r="AF68" s="15" t="s">
        <v>17</v>
      </c>
      <c r="AG68" s="15"/>
      <c r="AH68" s="34"/>
      <c r="AI68" s="34"/>
      <c r="AJ68" s="34"/>
      <c r="AK68" s="34"/>
      <c r="AL68" s="34"/>
      <c r="AM68" s="34"/>
      <c r="AN68" s="34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</row>
    <row r="69" spans="1:107" s="35" customFormat="1" ht="25" x14ac:dyDescent="0.25">
      <c r="A69" s="15">
        <v>96</v>
      </c>
      <c r="B69" s="64" t="s">
        <v>224</v>
      </c>
      <c r="C69" s="22" t="s">
        <v>174</v>
      </c>
      <c r="D69" s="22"/>
      <c r="E69" s="22"/>
      <c r="F69" s="22"/>
      <c r="G69" s="22"/>
      <c r="H69" s="22"/>
      <c r="I69" s="33"/>
      <c r="J69" s="22"/>
      <c r="K69" s="22"/>
      <c r="L69" s="22"/>
      <c r="M69" s="33"/>
      <c r="N69" s="24"/>
      <c r="O69" s="33">
        <v>753.55</v>
      </c>
      <c r="P69" s="23" t="e">
        <f>O69/M69*100</f>
        <v>#DIV/0!</v>
      </c>
      <c r="Q69" s="33">
        <v>753.55</v>
      </c>
      <c r="R69" s="24">
        <f>Q69/O69*100</f>
        <v>100</v>
      </c>
      <c r="S69" s="24">
        <v>826.94</v>
      </c>
      <c r="T69" s="24">
        <f>S69/Q69*100</f>
        <v>109.7392342910225</v>
      </c>
      <c r="U69" s="23">
        <v>0.75</v>
      </c>
      <c r="V69" s="23">
        <v>0.75</v>
      </c>
      <c r="W69" s="23">
        <v>0.75</v>
      </c>
      <c r="X69" s="23">
        <v>0.75</v>
      </c>
      <c r="Y69" s="23">
        <f>W69*Q69</f>
        <v>565.16249999999991</v>
      </c>
      <c r="Z69" s="23">
        <f>X69*S69</f>
        <v>620.20500000000004</v>
      </c>
      <c r="AA69" s="24"/>
      <c r="AB69" s="24"/>
      <c r="AC69" s="24"/>
      <c r="AD69" s="23">
        <f>Q69*1.09799999*X69</f>
        <v>620.54841934837498</v>
      </c>
      <c r="AE69" s="23">
        <f>AD69-Z69</f>
        <v>0.34341934837493682</v>
      </c>
      <c r="AF69" s="15" t="s">
        <v>18</v>
      </c>
      <c r="AG69" s="15"/>
      <c r="AH69" s="34"/>
      <c r="AI69" s="34"/>
      <c r="AJ69" s="34"/>
      <c r="AK69" s="34"/>
      <c r="AL69" s="34"/>
      <c r="AM69" s="34"/>
      <c r="AN69" s="34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</row>
    <row r="70" spans="1:107" s="35" customFormat="1" ht="23.5" customHeight="1" x14ac:dyDescent="0.25">
      <c r="A70" s="15">
        <v>63</v>
      </c>
      <c r="B70" s="12" t="s">
        <v>68</v>
      </c>
      <c r="C70" s="12" t="s">
        <v>63</v>
      </c>
      <c r="D70" s="15" t="s">
        <v>65</v>
      </c>
      <c r="E70" s="15">
        <v>925.85</v>
      </c>
      <c r="F70" s="23" t="s">
        <v>64</v>
      </c>
      <c r="G70" s="23">
        <v>925.85</v>
      </c>
      <c r="H70" s="23">
        <v>981.4</v>
      </c>
      <c r="I70" s="23">
        <v>1036.02</v>
      </c>
      <c r="J70" s="23">
        <v>100</v>
      </c>
      <c r="K70" s="23">
        <v>105.99989199114326</v>
      </c>
      <c r="L70" s="23">
        <v>111.89933574553112</v>
      </c>
      <c r="M70" s="33">
        <v>1193.49</v>
      </c>
      <c r="N70" s="23">
        <v>115.19951352290497</v>
      </c>
      <c r="O70" s="33">
        <v>1263.9000000000001</v>
      </c>
      <c r="P70" s="23">
        <v>105.89950481361386</v>
      </c>
      <c r="Q70" s="24">
        <v>1263.9000000000001</v>
      </c>
      <c r="R70" s="24">
        <v>100</v>
      </c>
      <c r="S70" s="24">
        <v>1387.75</v>
      </c>
      <c r="T70" s="24">
        <v>109.79903473376058</v>
      </c>
      <c r="U70" s="23">
        <v>1.5860000000000001</v>
      </c>
      <c r="V70" s="23">
        <v>1.5860000000000001</v>
      </c>
      <c r="W70" s="25">
        <v>1.5860000000000001</v>
      </c>
      <c r="X70" s="25">
        <v>1.5860000000000001</v>
      </c>
      <c r="Y70" s="23">
        <v>2004.5454000000002</v>
      </c>
      <c r="Z70" s="23">
        <v>2200.9715000000001</v>
      </c>
      <c r="AA70" s="24"/>
      <c r="AB70" s="24"/>
      <c r="AC70" s="24"/>
      <c r="AD70" s="23">
        <v>2200.9906487454605</v>
      </c>
      <c r="AE70" s="23">
        <v>1.9148745460370264E-2</v>
      </c>
      <c r="AF70" s="15" t="s">
        <v>41</v>
      </c>
      <c r="AG70" s="15"/>
      <c r="AH70" s="34"/>
      <c r="AI70" s="34"/>
      <c r="AJ70" s="34"/>
      <c r="AK70" s="34"/>
      <c r="AL70" s="34"/>
      <c r="AM70" s="34"/>
      <c r="AN70" s="34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</row>
    <row r="71" spans="1:107" s="28" customFormat="1" ht="19.5" customHeight="1" x14ac:dyDescent="0.25">
      <c r="A71" s="76" t="s">
        <v>198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15"/>
      <c r="AH71" s="26"/>
      <c r="AI71" s="26"/>
      <c r="AJ71" s="26"/>
      <c r="AK71" s="26"/>
      <c r="AL71" s="26"/>
      <c r="AM71" s="26"/>
      <c r="AN71" s="26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</row>
    <row r="72" spans="1:107" s="32" customFormat="1" ht="17.649999999999999" customHeight="1" x14ac:dyDescent="0.25">
      <c r="A72" s="15">
        <v>36</v>
      </c>
      <c r="B72" s="12" t="s">
        <v>25</v>
      </c>
      <c r="C72" s="12" t="s">
        <v>0</v>
      </c>
      <c r="D72" s="15">
        <v>991.8</v>
      </c>
      <c r="E72" s="15">
        <v>1120.75</v>
      </c>
      <c r="F72" s="23">
        <f>E72/D72*100</f>
        <v>113.00161322847349</v>
      </c>
      <c r="G72" s="23">
        <v>1120.75</v>
      </c>
      <c r="H72" s="23">
        <v>1187.9000000000001</v>
      </c>
      <c r="I72" s="23">
        <v>1254</v>
      </c>
      <c r="J72" s="23">
        <f>G72/E72*100</f>
        <v>100</v>
      </c>
      <c r="K72" s="23">
        <f>H72/E72*100</f>
        <v>105.99152353334821</v>
      </c>
      <c r="L72" s="23">
        <f t="shared" ref="L72:L78" si="17">I72/E72*100</f>
        <v>111.88935980370287</v>
      </c>
      <c r="M72" s="24">
        <v>1417.02</v>
      </c>
      <c r="N72" s="24">
        <f>M72/I72*100</f>
        <v>112.99999999999999</v>
      </c>
      <c r="O72" s="24">
        <v>1455.07</v>
      </c>
      <c r="P72" s="23">
        <f>O72/M72*100</f>
        <v>102.68521262932069</v>
      </c>
      <c r="Q72" s="24">
        <v>1455.07</v>
      </c>
      <c r="R72" s="24">
        <f>Q72/O72*100</f>
        <v>100</v>
      </c>
      <c r="S72" s="24">
        <v>1547.76</v>
      </c>
      <c r="T72" s="24">
        <f t="shared" si="12"/>
        <v>106.3701402681658</v>
      </c>
      <c r="U72" s="23">
        <f>'[9]2015'!$AK$33/1000</f>
        <v>3.153</v>
      </c>
      <c r="V72" s="23">
        <f>U72</f>
        <v>3.153</v>
      </c>
      <c r="W72" s="25">
        <f>V72</f>
        <v>3.153</v>
      </c>
      <c r="X72" s="25">
        <f>W72</f>
        <v>3.153</v>
      </c>
      <c r="Y72" s="23">
        <f>W72*Q72</f>
        <v>4587.8357099999994</v>
      </c>
      <c r="Z72" s="23">
        <f>X72*S72</f>
        <v>4880.0872799999997</v>
      </c>
      <c r="AA72" s="24"/>
      <c r="AB72" s="24"/>
      <c r="AC72" s="24"/>
      <c r="AD72" s="23">
        <f>Q72*1.09799999*X72</f>
        <v>5037.4435637016422</v>
      </c>
      <c r="AE72" s="23">
        <f>AD72-Z72</f>
        <v>157.3562837016425</v>
      </c>
      <c r="AF72" s="15" t="s">
        <v>18</v>
      </c>
      <c r="AG72" s="15"/>
      <c r="AH72" s="31"/>
      <c r="AI72" s="31" t="s">
        <v>111</v>
      </c>
      <c r="AJ72" s="31">
        <v>2.9289999999999998</v>
      </c>
      <c r="AK72" s="31"/>
      <c r="AL72" s="31"/>
      <c r="AM72" s="31"/>
      <c r="AN72" s="31">
        <f>U72*Q72</f>
        <v>4587.8357099999994</v>
      </c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</row>
    <row r="73" spans="1:107" s="53" customFormat="1" ht="13" x14ac:dyDescent="0.25">
      <c r="A73" s="15">
        <v>37</v>
      </c>
      <c r="B73" s="12" t="s">
        <v>101</v>
      </c>
      <c r="C73" s="12" t="s">
        <v>93</v>
      </c>
      <c r="D73" s="15"/>
      <c r="E73" s="15"/>
      <c r="F73" s="23"/>
      <c r="G73" s="23"/>
      <c r="H73" s="23"/>
      <c r="I73" s="23">
        <v>1601.02</v>
      </c>
      <c r="J73" s="23"/>
      <c r="K73" s="23"/>
      <c r="L73" s="23">
        <v>0</v>
      </c>
      <c r="M73" s="24">
        <v>1710.43</v>
      </c>
      <c r="N73" s="24">
        <f t="shared" ref="N73:N86" si="18">M73/I73*100</f>
        <v>106.83376847259873</v>
      </c>
      <c r="O73" s="24">
        <v>1676.1</v>
      </c>
      <c r="P73" s="23">
        <f>O73/M73*100</f>
        <v>97.992902369579568</v>
      </c>
      <c r="Q73" s="24">
        <v>1676.1</v>
      </c>
      <c r="R73" s="24">
        <f>Q73/O73*100</f>
        <v>100</v>
      </c>
      <c r="S73" s="24">
        <v>1699.02</v>
      </c>
      <c r="T73" s="24">
        <f t="shared" si="12"/>
        <v>101.3674601754072</v>
      </c>
      <c r="U73" s="23">
        <v>27.065000000000001</v>
      </c>
      <c r="V73" s="23">
        <f>U73</f>
        <v>27.065000000000001</v>
      </c>
      <c r="W73" s="25">
        <v>27.065000000000001</v>
      </c>
      <c r="X73" s="25">
        <f>W73</f>
        <v>27.065000000000001</v>
      </c>
      <c r="Y73" s="23">
        <f>W73*Q73</f>
        <v>45363.646500000003</v>
      </c>
      <c r="Z73" s="23">
        <f>X73*S73</f>
        <v>45983.976300000002</v>
      </c>
      <c r="AA73" s="24"/>
      <c r="AB73" s="24"/>
      <c r="AC73" s="24"/>
      <c r="AD73" s="23">
        <f>Q73*1.0979999*X73</f>
        <v>49809.279320635353</v>
      </c>
      <c r="AE73" s="23">
        <f>AD73-Z73</f>
        <v>3825.3030206353505</v>
      </c>
      <c r="AF73" s="15" t="s">
        <v>38</v>
      </c>
      <c r="AG73" s="15"/>
      <c r="AH73" s="52"/>
      <c r="AI73" s="52" t="s">
        <v>136</v>
      </c>
      <c r="AJ73" s="52"/>
      <c r="AK73" s="52"/>
      <c r="AL73" s="52">
        <f>Y73*1.18</f>
        <v>53529.102870000002</v>
      </c>
      <c r="AM73" s="52">
        <f>Z73*1.18</f>
        <v>54261.092034000001</v>
      </c>
      <c r="AN73" s="52">
        <f>U73*Q73</f>
        <v>45363.646500000003</v>
      </c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</row>
    <row r="74" spans="1:107" s="32" customFormat="1" ht="18" customHeight="1" x14ac:dyDescent="0.25">
      <c r="A74" s="15">
        <v>38</v>
      </c>
      <c r="B74" s="12" t="s">
        <v>199</v>
      </c>
      <c r="C74" s="12" t="s">
        <v>96</v>
      </c>
      <c r="D74" s="15">
        <v>989.16</v>
      </c>
      <c r="E74" s="15">
        <v>1128.26</v>
      </c>
      <c r="F74" s="15">
        <v>1128.26</v>
      </c>
      <c r="G74" s="15">
        <v>1128.26</v>
      </c>
      <c r="H74" s="23">
        <v>1195.95</v>
      </c>
      <c r="I74" s="23">
        <v>1262.52</v>
      </c>
      <c r="J74" s="23">
        <f>G74/E74*100</f>
        <v>100</v>
      </c>
      <c r="K74" s="23">
        <f>H74/E74*100</f>
        <v>105.99950366050379</v>
      </c>
      <c r="L74" s="23">
        <f t="shared" si="17"/>
        <v>111.89973942176448</v>
      </c>
      <c r="M74" s="24">
        <v>1451.9</v>
      </c>
      <c r="N74" s="24">
        <f t="shared" si="18"/>
        <v>115.00015841333206</v>
      </c>
      <c r="O74" s="24">
        <v>1536.11</v>
      </c>
      <c r="P74" s="23">
        <f>O74/M74*100</f>
        <v>105.79998622494662</v>
      </c>
      <c r="Q74" s="24">
        <v>1536.11</v>
      </c>
      <c r="R74" s="24">
        <f>Q74/O74*100</f>
        <v>100</v>
      </c>
      <c r="S74" s="24">
        <v>1625.52</v>
      </c>
      <c r="T74" s="24">
        <f t="shared" si="12"/>
        <v>105.82054670563959</v>
      </c>
      <c r="U74" s="23">
        <f>'[10]2015'!$AQ$27/1000</f>
        <v>1.6802999999999999</v>
      </c>
      <c r="V74" s="23">
        <f>U74</f>
        <v>1.6802999999999999</v>
      </c>
      <c r="W74" s="25">
        <f>U74</f>
        <v>1.6802999999999999</v>
      </c>
      <c r="X74" s="25">
        <f>W74</f>
        <v>1.6802999999999999</v>
      </c>
      <c r="Y74" s="23">
        <f>W74*Q74</f>
        <v>2581.1256329999997</v>
      </c>
      <c r="Z74" s="23">
        <f>X74*S74</f>
        <v>2731.3612559999997</v>
      </c>
      <c r="AA74" s="24"/>
      <c r="AB74" s="24"/>
      <c r="AC74" s="24"/>
      <c r="AD74" s="23">
        <f>Q74*1.09799999*X74</f>
        <v>2834.0759192227433</v>
      </c>
      <c r="AE74" s="23">
        <f>AD74-Z74</f>
        <v>102.71466322274364</v>
      </c>
      <c r="AF74" s="15" t="s">
        <v>18</v>
      </c>
      <c r="AG74" s="15"/>
      <c r="AH74" s="31"/>
      <c r="AI74" s="31" t="s">
        <v>111</v>
      </c>
      <c r="AJ74" s="31">
        <v>4.1820000000000004</v>
      </c>
      <c r="AK74" s="31"/>
      <c r="AL74" s="31"/>
      <c r="AM74" s="31"/>
      <c r="AN74" s="31">
        <f>U74*Q74</f>
        <v>2581.1256329999997</v>
      </c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</row>
    <row r="75" spans="1:107" s="28" customFormat="1" ht="23.5" customHeight="1" x14ac:dyDescent="0.25">
      <c r="A75" s="15">
        <v>39</v>
      </c>
      <c r="B75" s="12" t="s">
        <v>47</v>
      </c>
      <c r="C75" s="12" t="s">
        <v>37</v>
      </c>
      <c r="D75" s="15">
        <v>618.9</v>
      </c>
      <c r="E75" s="15">
        <v>708.02</v>
      </c>
      <c r="F75" s="23">
        <f>E75/D75*100</f>
        <v>114.39974147681372</v>
      </c>
      <c r="G75" s="23">
        <v>708.02</v>
      </c>
      <c r="H75" s="23">
        <v>750.5</v>
      </c>
      <c r="I75" s="23">
        <v>792.27</v>
      </c>
      <c r="J75" s="23">
        <f>G75/E75*100</f>
        <v>100</v>
      </c>
      <c r="K75" s="23">
        <f>H75/E75*100</f>
        <v>105.99983051326234</v>
      </c>
      <c r="L75" s="23">
        <f t="shared" si="17"/>
        <v>111.89938137340754</v>
      </c>
      <c r="M75" s="54">
        <v>911.11</v>
      </c>
      <c r="N75" s="24">
        <f t="shared" si="18"/>
        <v>114.99993689020158</v>
      </c>
      <c r="O75" s="33">
        <v>964.86</v>
      </c>
      <c r="P75" s="23">
        <f>O75/M75*100</f>
        <v>105.89939743828955</v>
      </c>
      <c r="Q75" s="24">
        <f>O75</f>
        <v>964.86</v>
      </c>
      <c r="R75" s="24">
        <f>Q75/O75*100</f>
        <v>100</v>
      </c>
      <c r="S75" s="24">
        <v>1059.4100000000001</v>
      </c>
      <c r="T75" s="24">
        <f t="shared" si="12"/>
        <v>109.79934912837098</v>
      </c>
      <c r="U75" s="23">
        <v>6.8460000000000001</v>
      </c>
      <c r="V75" s="23">
        <f>U75</f>
        <v>6.8460000000000001</v>
      </c>
      <c r="W75" s="25">
        <v>1.78</v>
      </c>
      <c r="X75" s="25">
        <f>W75</f>
        <v>1.78</v>
      </c>
      <c r="Y75" s="23">
        <f>W75*Q75</f>
        <v>1717.4508000000001</v>
      </c>
      <c r="Z75" s="23">
        <f>X75*S75</f>
        <v>1885.7498000000003</v>
      </c>
      <c r="AA75" s="24"/>
      <c r="AB75" s="24"/>
      <c r="AC75" s="24"/>
      <c r="AD75" s="23">
        <f>Q75*1.09799999*X75</f>
        <v>1885.7609612254921</v>
      </c>
      <c r="AE75" s="23">
        <f>AD75-Z75</f>
        <v>1.1161225491832738E-2</v>
      </c>
      <c r="AF75" s="15" t="s">
        <v>38</v>
      </c>
      <c r="AG75" s="15"/>
      <c r="AH75" s="26"/>
      <c r="AI75" s="26" t="s">
        <v>109</v>
      </c>
      <c r="AJ75" s="26">
        <v>6.75</v>
      </c>
      <c r="AK75" s="26"/>
      <c r="AL75" s="26">
        <f>Y75*1.18</f>
        <v>2026.591944</v>
      </c>
      <c r="AM75" s="26">
        <f>Z75*1.18</f>
        <v>2225.1847640000001</v>
      </c>
      <c r="AN75" s="26">
        <f>U75*Q75</f>
        <v>6605.43156</v>
      </c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</row>
    <row r="77" spans="1:107" s="32" customFormat="1" ht="18.649999999999999" customHeight="1" x14ac:dyDescent="0.25">
      <c r="A77" s="15">
        <v>41</v>
      </c>
      <c r="B77" s="12" t="s">
        <v>49</v>
      </c>
      <c r="C77" s="12" t="s">
        <v>48</v>
      </c>
      <c r="D77" s="15">
        <v>799.54</v>
      </c>
      <c r="E77" s="15">
        <v>911.47</v>
      </c>
      <c r="F77" s="23">
        <f>E77/D77*100</f>
        <v>113.99929959726845</v>
      </c>
      <c r="G77" s="23">
        <v>911.47</v>
      </c>
      <c r="H77" s="23">
        <v>966.16</v>
      </c>
      <c r="I77" s="23">
        <v>1019.82</v>
      </c>
      <c r="J77" s="23">
        <f>G77/E77*100</f>
        <v>100</v>
      </c>
      <c r="K77" s="23">
        <f>H77/E77*100</f>
        <v>106.0001974831865</v>
      </c>
      <c r="L77" s="23">
        <f t="shared" si="17"/>
        <v>111.88739069854192</v>
      </c>
      <c r="M77" s="33">
        <v>1172.79</v>
      </c>
      <c r="N77" s="24">
        <f t="shared" si="18"/>
        <v>114.99970583044066</v>
      </c>
      <c r="O77" s="33">
        <v>1241.98</v>
      </c>
      <c r="P77" s="23">
        <f t="shared" ref="P77:P86" si="19">O77/M77*100</f>
        <v>105.89960692024999</v>
      </c>
      <c r="Q77" s="24">
        <v>1241.98</v>
      </c>
      <c r="R77" s="24">
        <f t="shared" ref="R77:R86" si="20">Q77/O77*100</f>
        <v>100</v>
      </c>
      <c r="S77" s="24">
        <v>1357.49</v>
      </c>
      <c r="T77" s="24">
        <f t="shared" si="12"/>
        <v>109.30047182724358</v>
      </c>
      <c r="U77" s="23">
        <f>'[11]2014-2015'!$BI$34/1000</f>
        <v>12.0487</v>
      </c>
      <c r="V77" s="23">
        <f t="shared" ref="V77:V86" si="21">U77</f>
        <v>12.0487</v>
      </c>
      <c r="W77" s="25">
        <f>U77</f>
        <v>12.0487</v>
      </c>
      <c r="X77" s="25">
        <f>W77</f>
        <v>12.0487</v>
      </c>
      <c r="Y77" s="23">
        <f t="shared" ref="Y77:Y86" si="22">W77*Q77</f>
        <v>14964.244426000001</v>
      </c>
      <c r="Z77" s="23">
        <f t="shared" ref="Z77:Z86" si="23">X77*S77</f>
        <v>16355.989763</v>
      </c>
      <c r="AA77" s="24"/>
      <c r="AB77" s="24"/>
      <c r="AC77" s="24"/>
      <c r="AD77" s="23">
        <f>Q77*1.09799999*X77</f>
        <v>16430.740230105555</v>
      </c>
      <c r="AE77" s="23">
        <f t="shared" ref="AE77:AE86" si="24">AD77-Z77</f>
        <v>74.750467105555799</v>
      </c>
      <c r="AF77" s="15" t="s">
        <v>41</v>
      </c>
      <c r="AG77" s="15"/>
      <c r="AH77" s="31"/>
      <c r="AI77" s="31" t="s">
        <v>107</v>
      </c>
      <c r="AJ77" s="31">
        <v>11.308</v>
      </c>
      <c r="AK77" s="31"/>
      <c r="AL77" s="31"/>
      <c r="AM77" s="31"/>
      <c r="AN77" s="31">
        <f>U77*Q77</f>
        <v>14964.244426000001</v>
      </c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</row>
    <row r="78" spans="1:107" s="45" customFormat="1" ht="21" customHeight="1" x14ac:dyDescent="0.25">
      <c r="A78" s="15">
        <v>42</v>
      </c>
      <c r="B78" s="12" t="s">
        <v>50</v>
      </c>
      <c r="C78" s="12" t="s">
        <v>51</v>
      </c>
      <c r="D78" s="15">
        <v>1007.28</v>
      </c>
      <c r="E78" s="15">
        <v>1151.76</v>
      </c>
      <c r="F78" s="23">
        <f>E78/D78*100</f>
        <v>114.34357874672385</v>
      </c>
      <c r="G78" s="23">
        <v>1151.76</v>
      </c>
      <c r="H78" s="23">
        <v>1220.8599999999999</v>
      </c>
      <c r="I78" s="23">
        <v>1288.43</v>
      </c>
      <c r="J78" s="23">
        <f>G78/E78*100</f>
        <v>100</v>
      </c>
      <c r="K78" s="23">
        <f>H78/E78*100</f>
        <v>105.99951378759462</v>
      </c>
      <c r="L78" s="23">
        <f t="shared" si="17"/>
        <v>111.86618740015281</v>
      </c>
      <c r="M78" s="24">
        <v>1430.58</v>
      </c>
      <c r="N78" s="24">
        <f t="shared" si="18"/>
        <v>111.03280737021024</v>
      </c>
      <c r="O78" s="24">
        <v>1511.98</v>
      </c>
      <c r="P78" s="23">
        <f t="shared" si="19"/>
        <v>105.68999986019656</v>
      </c>
      <c r="Q78" s="24">
        <v>1511.98</v>
      </c>
      <c r="R78" s="24">
        <f t="shared" si="20"/>
        <v>100</v>
      </c>
      <c r="S78" s="24">
        <v>1617.76</v>
      </c>
      <c r="T78" s="24">
        <f t="shared" si="12"/>
        <v>106.9961242873583</v>
      </c>
      <c r="U78" s="23">
        <v>1.7541</v>
      </c>
      <c r="V78" s="23">
        <f t="shared" si="21"/>
        <v>1.7541</v>
      </c>
      <c r="W78" s="23">
        <v>1.7541</v>
      </c>
      <c r="X78" s="23">
        <v>1.7541</v>
      </c>
      <c r="Y78" s="23">
        <f t="shared" si="22"/>
        <v>2652.1641180000001</v>
      </c>
      <c r="Z78" s="23">
        <f t="shared" si="23"/>
        <v>2837.7128159999997</v>
      </c>
      <c r="AA78" s="24"/>
      <c r="AB78" s="24"/>
      <c r="AC78" s="24"/>
      <c r="AD78" s="23">
        <f>Q78*1.0979999*X78</f>
        <v>2912.0759363475881</v>
      </c>
      <c r="AE78" s="23">
        <f t="shared" si="24"/>
        <v>74.363120347588392</v>
      </c>
      <c r="AF78" s="15" t="s">
        <v>41</v>
      </c>
      <c r="AG78" s="15"/>
      <c r="AH78" s="44"/>
      <c r="AI78" s="44" t="s">
        <v>136</v>
      </c>
      <c r="AJ78" s="44">
        <v>1.006</v>
      </c>
      <c r="AK78" s="44"/>
      <c r="AL78" s="44"/>
      <c r="AM78" s="44"/>
      <c r="AN78" s="44">
        <f>U78*Q78</f>
        <v>2652.1641180000001</v>
      </c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</row>
    <row r="79" spans="1:107" s="45" customFormat="1" ht="17.5" customHeight="1" x14ac:dyDescent="0.25">
      <c r="A79" s="15">
        <v>44</v>
      </c>
      <c r="B79" s="22" t="s">
        <v>218</v>
      </c>
      <c r="C79" s="56" t="s">
        <v>159</v>
      </c>
      <c r="D79" s="15"/>
      <c r="E79" s="15"/>
      <c r="F79" s="15"/>
      <c r="G79" s="15"/>
      <c r="H79" s="15"/>
      <c r="I79" s="15" t="s">
        <v>103</v>
      </c>
      <c r="J79" s="15"/>
      <c r="K79" s="15"/>
      <c r="L79" s="15"/>
      <c r="M79" s="33">
        <v>843.41</v>
      </c>
      <c r="N79" s="24">
        <v>0</v>
      </c>
      <c r="O79" s="33">
        <v>1005.04</v>
      </c>
      <c r="P79" s="23">
        <f t="shared" si="19"/>
        <v>119.16387047817787</v>
      </c>
      <c r="Q79" s="24">
        <v>1005.04</v>
      </c>
      <c r="R79" s="24">
        <f t="shared" si="20"/>
        <v>100</v>
      </c>
      <c r="S79" s="24">
        <v>1101.73</v>
      </c>
      <c r="T79" s="24">
        <f t="shared" si="12"/>
        <v>109.62051261641328</v>
      </c>
      <c r="U79" s="23">
        <v>8.3859999999999992</v>
      </c>
      <c r="V79" s="23">
        <f t="shared" si="21"/>
        <v>8.3859999999999992</v>
      </c>
      <c r="W79" s="23">
        <v>8.3859999999999992</v>
      </c>
      <c r="X79" s="23">
        <f t="shared" ref="X79:X86" si="25">W79</f>
        <v>8.3859999999999992</v>
      </c>
      <c r="Y79" s="23">
        <f t="shared" si="22"/>
        <v>8428.2654399999992</v>
      </c>
      <c r="Z79" s="23">
        <f t="shared" si="23"/>
        <v>9239.1077799999985</v>
      </c>
      <c r="AA79" s="24"/>
      <c r="AB79" s="24"/>
      <c r="AC79" s="24"/>
      <c r="AD79" s="23">
        <f>Q79*1.09799999*X79</f>
        <v>9254.2353688373423</v>
      </c>
      <c r="AE79" s="23">
        <f t="shared" si="24"/>
        <v>15.127588837343865</v>
      </c>
      <c r="AF79" s="15" t="s">
        <v>38</v>
      </c>
      <c r="AG79" s="15"/>
      <c r="AH79" s="44"/>
      <c r="AI79" s="44" t="s">
        <v>109</v>
      </c>
      <c r="AJ79" s="44"/>
      <c r="AK79" s="44"/>
      <c r="AL79" s="44">
        <f>Y79*1.18</f>
        <v>9945.3532191999984</v>
      </c>
      <c r="AM79" s="44">
        <f>Z79*1.18</f>
        <v>10902.147180399998</v>
      </c>
      <c r="AN79" s="44">
        <f>U79*Q79</f>
        <v>8428.2654399999992</v>
      </c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</row>
    <row r="80" spans="1:107" s="32" customFormat="1" ht="21.65" customHeight="1" x14ac:dyDescent="0.25">
      <c r="A80" s="15">
        <v>45</v>
      </c>
      <c r="B80" s="12" t="s">
        <v>52</v>
      </c>
      <c r="C80" s="22" t="s">
        <v>102</v>
      </c>
      <c r="D80" s="15">
        <v>946.91</v>
      </c>
      <c r="E80" s="15">
        <v>1077.3</v>
      </c>
      <c r="F80" s="23">
        <f>E80/D80*100</f>
        <v>113.77005206408212</v>
      </c>
      <c r="G80" s="23">
        <v>1077.3</v>
      </c>
      <c r="H80" s="23">
        <v>1141.94</v>
      </c>
      <c r="I80" s="23">
        <v>1205.49</v>
      </c>
      <c r="J80" s="23">
        <f>G80/E80*100</f>
        <v>100</v>
      </c>
      <c r="K80" s="23">
        <f>H80/E80*100</f>
        <v>106.00018564930846</v>
      </c>
      <c r="L80" s="23">
        <f>I80/E80*100</f>
        <v>111.89919242550823</v>
      </c>
      <c r="M80" s="33">
        <v>1386.28</v>
      </c>
      <c r="N80" s="24">
        <f t="shared" si="18"/>
        <v>114.99722104704311</v>
      </c>
      <c r="O80" s="33">
        <v>1431.43</v>
      </c>
      <c r="P80" s="23">
        <f t="shared" si="19"/>
        <v>103.25691779438498</v>
      </c>
      <c r="Q80" s="24">
        <v>1431.43</v>
      </c>
      <c r="R80" s="24">
        <f t="shared" si="20"/>
        <v>100</v>
      </c>
      <c r="S80" s="24">
        <v>1523.74</v>
      </c>
      <c r="T80" s="24">
        <f t="shared" si="12"/>
        <v>106.44879595928546</v>
      </c>
      <c r="U80" s="23">
        <f>'[12]смета 2015'!$AV$67/1000</f>
        <v>4.2016</v>
      </c>
      <c r="V80" s="23">
        <f t="shared" si="21"/>
        <v>4.2016</v>
      </c>
      <c r="W80" s="25">
        <f>V80</f>
        <v>4.2016</v>
      </c>
      <c r="X80" s="25">
        <f t="shared" si="25"/>
        <v>4.2016</v>
      </c>
      <c r="Y80" s="23">
        <f t="shared" si="22"/>
        <v>6014.2962880000005</v>
      </c>
      <c r="Z80" s="23">
        <f t="shared" si="23"/>
        <v>6402.1459839999998</v>
      </c>
      <c r="AA80" s="24"/>
      <c r="AB80" s="24"/>
      <c r="AC80" s="24"/>
      <c r="AD80" s="23">
        <f>Q80*1.09799999*X80</f>
        <v>6603.6972640810372</v>
      </c>
      <c r="AE80" s="23">
        <f t="shared" si="24"/>
        <v>201.55128008103748</v>
      </c>
      <c r="AF80" s="15" t="s">
        <v>41</v>
      </c>
      <c r="AG80" s="15"/>
      <c r="AH80" s="31"/>
      <c r="AI80" s="31" t="s">
        <v>107</v>
      </c>
      <c r="AJ80" s="31"/>
      <c r="AK80" s="31"/>
      <c r="AL80" s="31"/>
      <c r="AM80" s="31"/>
      <c r="AN80" s="31">
        <f>U80*Q80</f>
        <v>6014.2962880000005</v>
      </c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</row>
    <row r="81" spans="1:107" s="32" customFormat="1" ht="18" customHeight="1" x14ac:dyDescent="0.25">
      <c r="A81" s="15">
        <v>46</v>
      </c>
      <c r="B81" s="12" t="s">
        <v>86</v>
      </c>
      <c r="C81" s="12" t="s">
        <v>87</v>
      </c>
      <c r="D81" s="12"/>
      <c r="E81" s="12">
        <v>1134.5</v>
      </c>
      <c r="F81" s="12"/>
      <c r="G81" s="12">
        <v>1116.07</v>
      </c>
      <c r="H81" s="12">
        <v>1183.03</v>
      </c>
      <c r="I81" s="15">
        <v>1195.3399999999999</v>
      </c>
      <c r="J81" s="23">
        <f>G81/E81*100</f>
        <v>98.375495813133526</v>
      </c>
      <c r="K81" s="23">
        <f>H81/E81*100</f>
        <v>104.27765535478184</v>
      </c>
      <c r="L81" s="23">
        <f>I81/E81*100</f>
        <v>105.36271485235787</v>
      </c>
      <c r="M81" s="33">
        <v>1361.75</v>
      </c>
      <c r="N81" s="24">
        <f t="shared" si="18"/>
        <v>113.92156206602306</v>
      </c>
      <c r="O81" s="33">
        <v>1394.88</v>
      </c>
      <c r="P81" s="23">
        <f t="shared" si="19"/>
        <v>102.43289884340005</v>
      </c>
      <c r="Q81" s="24">
        <v>1394.88</v>
      </c>
      <c r="R81" s="24">
        <f t="shared" si="20"/>
        <v>100</v>
      </c>
      <c r="S81" s="24">
        <v>1499.68</v>
      </c>
      <c r="T81" s="24">
        <f t="shared" si="12"/>
        <v>107.51319109887589</v>
      </c>
      <c r="U81" s="23">
        <f>'[13]2014'!$AT$65/1000</f>
        <v>8.3580000000000005</v>
      </c>
      <c r="V81" s="23">
        <f t="shared" si="21"/>
        <v>8.3580000000000005</v>
      </c>
      <c r="W81" s="25">
        <f>V81</f>
        <v>8.3580000000000005</v>
      </c>
      <c r="X81" s="25">
        <f t="shared" si="25"/>
        <v>8.3580000000000005</v>
      </c>
      <c r="Y81" s="23">
        <f t="shared" si="22"/>
        <v>11658.407040000002</v>
      </c>
      <c r="Z81" s="23">
        <f t="shared" si="23"/>
        <v>12534.325440000001</v>
      </c>
      <c r="AA81" s="24"/>
      <c r="AB81" s="24"/>
      <c r="AC81" s="24"/>
      <c r="AD81" s="23">
        <f>Q81*1.09799999*X81</f>
        <v>12800.930813335932</v>
      </c>
      <c r="AE81" s="23">
        <f t="shared" si="24"/>
        <v>266.60537333593129</v>
      </c>
      <c r="AF81" s="15" t="s">
        <v>41</v>
      </c>
      <c r="AG81" s="15"/>
      <c r="AH81" s="31"/>
      <c r="AI81" s="31" t="s">
        <v>107</v>
      </c>
      <c r="AJ81" s="31">
        <v>0.96199999999999997</v>
      </c>
      <c r="AK81" s="31"/>
      <c r="AL81" s="31"/>
      <c r="AM81" s="31"/>
      <c r="AN81" s="31">
        <f>U81*Q81</f>
        <v>11658.407040000002</v>
      </c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</row>
    <row r="82" spans="1:107" s="32" customFormat="1" ht="18" customHeight="1" x14ac:dyDescent="0.25">
      <c r="A82" s="15">
        <v>102</v>
      </c>
      <c r="B82" s="12" t="s">
        <v>210</v>
      </c>
      <c r="C82" s="22" t="s">
        <v>171</v>
      </c>
      <c r="D82" s="22"/>
      <c r="E82" s="22"/>
      <c r="F82" s="22"/>
      <c r="G82" s="22"/>
      <c r="H82" s="22"/>
      <c r="I82" s="33"/>
      <c r="J82" s="22"/>
      <c r="K82" s="22"/>
      <c r="L82" s="22"/>
      <c r="M82" s="33"/>
      <c r="N82" s="24"/>
      <c r="O82" s="24">
        <v>1190.96</v>
      </c>
      <c r="P82" s="23" t="e">
        <f t="shared" si="19"/>
        <v>#DIV/0!</v>
      </c>
      <c r="Q82" s="24">
        <f>O82</f>
        <v>1190.96</v>
      </c>
      <c r="R82" s="24">
        <f t="shared" si="20"/>
        <v>100</v>
      </c>
      <c r="S82" s="24">
        <v>1260.6500000000001</v>
      </c>
      <c r="T82" s="24">
        <f>S82/Q82*100</f>
        <v>105.85158191710889</v>
      </c>
      <c r="U82" s="23">
        <v>18.4024</v>
      </c>
      <c r="V82" s="23">
        <f t="shared" si="21"/>
        <v>18.4024</v>
      </c>
      <c r="W82" s="23">
        <v>18.4024</v>
      </c>
      <c r="X82" s="23">
        <f t="shared" si="25"/>
        <v>18.4024</v>
      </c>
      <c r="Y82" s="23">
        <f t="shared" si="22"/>
        <v>21916.522304000002</v>
      </c>
      <c r="Z82" s="23">
        <f t="shared" si="23"/>
        <v>23198.985560000001</v>
      </c>
      <c r="AA82" s="24"/>
      <c r="AB82" s="24"/>
      <c r="AC82" s="24"/>
      <c r="AD82" s="23">
        <f>Q82*1.09799999*X82</f>
        <v>24064.341270626777</v>
      </c>
      <c r="AE82" s="23">
        <f t="shared" si="24"/>
        <v>865.35571062677627</v>
      </c>
      <c r="AF82" s="15" t="s">
        <v>17</v>
      </c>
      <c r="AG82" s="15"/>
      <c r="AH82" s="31"/>
      <c r="AI82" s="31"/>
      <c r="AJ82" s="31"/>
      <c r="AK82" s="31"/>
      <c r="AL82" s="31"/>
      <c r="AM82" s="31"/>
      <c r="AN82" s="31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</row>
    <row r="83" spans="1:107" s="32" customFormat="1" ht="40.9" customHeight="1" x14ac:dyDescent="0.25">
      <c r="A83" s="15">
        <v>70</v>
      </c>
      <c r="B83" s="12" t="s">
        <v>52</v>
      </c>
      <c r="C83" s="51" t="s">
        <v>182</v>
      </c>
      <c r="D83" s="22"/>
      <c r="E83" s="22"/>
      <c r="F83" s="22"/>
      <c r="G83" s="22"/>
      <c r="H83" s="22"/>
      <c r="I83" s="33">
        <v>2325.17</v>
      </c>
      <c r="J83" s="22"/>
      <c r="K83" s="22"/>
      <c r="L83" s="22"/>
      <c r="M83" s="33">
        <v>2325.17</v>
      </c>
      <c r="N83" s="24">
        <f>M83/I83*100</f>
        <v>100</v>
      </c>
      <c r="O83" s="33">
        <v>2836.62</v>
      </c>
      <c r="P83" s="23">
        <f t="shared" si="19"/>
        <v>121.99624113505678</v>
      </c>
      <c r="Q83" s="24">
        <v>2836.62</v>
      </c>
      <c r="R83" s="24">
        <f t="shared" si="20"/>
        <v>100</v>
      </c>
      <c r="S83" s="24">
        <v>3114.58</v>
      </c>
      <c r="T83" s="24">
        <f>S83/Q83*100</f>
        <v>109.79898611728044</v>
      </c>
      <c r="U83" s="23">
        <f>(175.25)/1000</f>
        <v>0.17524999999999999</v>
      </c>
      <c r="V83" s="23">
        <f t="shared" si="21"/>
        <v>0.17524999999999999</v>
      </c>
      <c r="W83" s="25">
        <f>175.25/1000</f>
        <v>0.17524999999999999</v>
      </c>
      <c r="X83" s="25">
        <f t="shared" si="25"/>
        <v>0.17524999999999999</v>
      </c>
      <c r="Y83" s="23">
        <f t="shared" si="22"/>
        <v>497.11765499999996</v>
      </c>
      <c r="Z83" s="23">
        <f t="shared" si="23"/>
        <v>545.8301449999999</v>
      </c>
      <c r="AA83" s="24"/>
      <c r="AB83" s="24"/>
      <c r="AC83" s="24"/>
      <c r="AD83" s="23">
        <f>Q83*1.09799999*X83</f>
        <v>545.83518021882344</v>
      </c>
      <c r="AE83" s="23">
        <f t="shared" si="24"/>
        <v>5.0352188235365247E-3</v>
      </c>
      <c r="AF83" s="15" t="s">
        <v>17</v>
      </c>
      <c r="AG83" s="15"/>
      <c r="AH83" s="31"/>
      <c r="AI83" s="31"/>
      <c r="AJ83" s="31"/>
      <c r="AK83" s="31"/>
      <c r="AL83" s="31"/>
      <c r="AM83" s="31"/>
      <c r="AN83" s="31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</row>
    <row r="84" spans="1:107" s="32" customFormat="1" ht="40.9" customHeight="1" x14ac:dyDescent="0.25">
      <c r="A84" s="15">
        <v>80</v>
      </c>
      <c r="B84" s="12" t="s">
        <v>225</v>
      </c>
      <c r="C84" s="22" t="s">
        <v>134</v>
      </c>
      <c r="D84" s="22"/>
      <c r="E84" s="22"/>
      <c r="F84" s="22"/>
      <c r="G84" s="22"/>
      <c r="H84" s="22"/>
      <c r="I84" s="33">
        <v>610.48</v>
      </c>
      <c r="J84" s="22"/>
      <c r="K84" s="22"/>
      <c r="L84" s="22"/>
      <c r="M84" s="33">
        <v>610.48</v>
      </c>
      <c r="N84" s="24">
        <f>M84/I84*100</f>
        <v>100</v>
      </c>
      <c r="O84" s="33">
        <v>744.76</v>
      </c>
      <c r="P84" s="23">
        <f t="shared" si="19"/>
        <v>121.99580657843008</v>
      </c>
      <c r="Q84" s="24">
        <v>744.76</v>
      </c>
      <c r="R84" s="24">
        <f t="shared" si="20"/>
        <v>100</v>
      </c>
      <c r="S84" s="24">
        <v>817.71</v>
      </c>
      <c r="T84" s="24">
        <f>S84/Q84*100</f>
        <v>109.79510177775391</v>
      </c>
      <c r="U84" s="23">
        <f>W84</f>
        <v>13.827</v>
      </c>
      <c r="V84" s="23">
        <f t="shared" si="21"/>
        <v>13.827</v>
      </c>
      <c r="W84" s="25">
        <f>13827/1000</f>
        <v>13.827</v>
      </c>
      <c r="X84" s="25">
        <f t="shared" si="25"/>
        <v>13.827</v>
      </c>
      <c r="Y84" s="23">
        <f t="shared" si="22"/>
        <v>10297.79652</v>
      </c>
      <c r="Z84" s="23">
        <f t="shared" si="23"/>
        <v>11306.47617</v>
      </c>
      <c r="AA84" s="24"/>
      <c r="AB84" s="24"/>
      <c r="AC84" s="24"/>
      <c r="AD84" s="23">
        <f>Q84*1.097999999*X84</f>
        <v>11306.980568662204</v>
      </c>
      <c r="AE84" s="23">
        <f t="shared" si="24"/>
        <v>0.50439866220403928</v>
      </c>
      <c r="AF84" s="15" t="s">
        <v>17</v>
      </c>
      <c r="AG84" s="15"/>
      <c r="AH84" s="31"/>
      <c r="AI84" s="31"/>
      <c r="AJ84" s="31"/>
      <c r="AK84" s="31"/>
      <c r="AL84" s="31"/>
      <c r="AM84" s="31"/>
      <c r="AN84" s="31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</row>
    <row r="85" spans="1:107" s="32" customFormat="1" ht="40.9" customHeight="1" x14ac:dyDescent="0.25">
      <c r="A85" s="15">
        <v>79</v>
      </c>
      <c r="B85" s="12" t="s">
        <v>226</v>
      </c>
      <c r="C85" s="51" t="s">
        <v>127</v>
      </c>
      <c r="D85" s="22"/>
      <c r="E85" s="22"/>
      <c r="F85" s="22"/>
      <c r="G85" s="22"/>
      <c r="H85" s="22"/>
      <c r="I85" s="33">
        <v>2325.17</v>
      </c>
      <c r="J85" s="22"/>
      <c r="K85" s="22"/>
      <c r="L85" s="22"/>
      <c r="M85" s="33">
        <v>2325.17</v>
      </c>
      <c r="N85" s="24">
        <f>M85/I85*100</f>
        <v>100</v>
      </c>
      <c r="O85" s="33">
        <v>2836.62</v>
      </c>
      <c r="P85" s="23">
        <f t="shared" si="19"/>
        <v>121.99624113505678</v>
      </c>
      <c r="Q85" s="24">
        <v>2836.62</v>
      </c>
      <c r="R85" s="24">
        <f t="shared" si="20"/>
        <v>100</v>
      </c>
      <c r="S85" s="24">
        <v>3114.42</v>
      </c>
      <c r="T85" s="24">
        <f>S85/Q85*100</f>
        <v>109.79334560145526</v>
      </c>
      <c r="U85" s="23">
        <f>W85</f>
        <v>3.5650000000000001E-2</v>
      </c>
      <c r="V85" s="23">
        <f t="shared" si="21"/>
        <v>3.5650000000000001E-2</v>
      </c>
      <c r="W85" s="25">
        <f>35.65/1000</f>
        <v>3.5650000000000001E-2</v>
      </c>
      <c r="X85" s="25">
        <f t="shared" si="25"/>
        <v>3.5650000000000001E-2</v>
      </c>
      <c r="Y85" s="23">
        <f t="shared" si="22"/>
        <v>101.12550299999999</v>
      </c>
      <c r="Z85" s="23">
        <f t="shared" si="23"/>
        <v>111.02907300000001</v>
      </c>
      <c r="AA85" s="24"/>
      <c r="AB85" s="24"/>
      <c r="AC85" s="24"/>
      <c r="AD85" s="23">
        <f>Q85*1.097999999*X85</f>
        <v>111.0358021928745</v>
      </c>
      <c r="AE85" s="23">
        <f t="shared" si="24"/>
        <v>6.7291928744879215E-3</v>
      </c>
      <c r="AF85" s="15" t="s">
        <v>17</v>
      </c>
      <c r="AG85" s="15"/>
      <c r="AH85" s="31"/>
      <c r="AI85" s="31"/>
      <c r="AJ85" s="31"/>
      <c r="AK85" s="31"/>
      <c r="AL85" s="31"/>
      <c r="AM85" s="31"/>
      <c r="AN85" s="31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</row>
    <row r="86" spans="1:107" s="35" customFormat="1" ht="28.9" customHeight="1" x14ac:dyDescent="0.25">
      <c r="A86" s="15">
        <v>47</v>
      </c>
      <c r="B86" s="12" t="s">
        <v>54</v>
      </c>
      <c r="C86" s="12" t="s">
        <v>53</v>
      </c>
      <c r="D86" s="15">
        <v>1094.3599999999999</v>
      </c>
      <c r="E86" s="15">
        <v>1236.6300000000001</v>
      </c>
      <c r="F86" s="23">
        <f>E86/D86*100</f>
        <v>113.00029240834829</v>
      </c>
      <c r="G86" s="23">
        <v>1236.6300000000001</v>
      </c>
      <c r="H86" s="23">
        <v>1310.83</v>
      </c>
      <c r="I86" s="23">
        <v>1383.71</v>
      </c>
      <c r="J86" s="23">
        <f>G86/E86*100</f>
        <v>100</v>
      </c>
      <c r="K86" s="23">
        <f>H86/E86*100</f>
        <v>106.00017790284886</v>
      </c>
      <c r="L86" s="23">
        <f>I86/E86*100</f>
        <v>111.89361409637482</v>
      </c>
      <c r="M86" s="23">
        <v>1417.37</v>
      </c>
      <c r="N86" s="24">
        <f t="shared" si="18"/>
        <v>102.43259064399331</v>
      </c>
      <c r="O86" s="23">
        <v>1476.07</v>
      </c>
      <c r="P86" s="23">
        <f t="shared" si="19"/>
        <v>104.14147329208323</v>
      </c>
      <c r="Q86" s="23">
        <v>1476.07</v>
      </c>
      <c r="R86" s="24">
        <f t="shared" si="20"/>
        <v>100</v>
      </c>
      <c r="S86" s="23">
        <v>1510.33</v>
      </c>
      <c r="T86" s="24">
        <f t="shared" si="12"/>
        <v>102.32102813552201</v>
      </c>
      <c r="U86" s="23">
        <v>11.46</v>
      </c>
      <c r="V86" s="23">
        <f t="shared" si="21"/>
        <v>11.46</v>
      </c>
      <c r="W86" s="25">
        <f>V86-0.146</f>
        <v>11.314</v>
      </c>
      <c r="X86" s="25">
        <f t="shared" si="25"/>
        <v>11.314</v>
      </c>
      <c r="Y86" s="23">
        <f t="shared" si="22"/>
        <v>16700.255979999998</v>
      </c>
      <c r="Z86" s="23">
        <f t="shared" si="23"/>
        <v>17087.873619999998</v>
      </c>
      <c r="AA86" s="23"/>
      <c r="AB86" s="23"/>
      <c r="AC86" s="23"/>
      <c r="AD86" s="23">
        <f>Q86*1.0979999*X86</f>
        <v>18336.879396014399</v>
      </c>
      <c r="AE86" s="23">
        <f t="shared" si="24"/>
        <v>1249.0057760144009</v>
      </c>
      <c r="AF86" s="15" t="s">
        <v>41</v>
      </c>
      <c r="AG86" s="15"/>
      <c r="AH86" s="34"/>
      <c r="AI86" s="34" t="s">
        <v>112</v>
      </c>
      <c r="AJ86" s="34">
        <v>10.185</v>
      </c>
      <c r="AK86" s="34"/>
      <c r="AL86" s="34"/>
      <c r="AM86" s="34"/>
      <c r="AN86" s="34">
        <f>U86*Q86</f>
        <v>16915.762200000001</v>
      </c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</row>
    <row r="87" spans="1:107" s="35" customFormat="1" ht="16.899999999999999" customHeight="1" x14ac:dyDescent="0.25">
      <c r="A87" s="76" t="s">
        <v>200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15"/>
      <c r="AH87" s="34"/>
      <c r="AI87" s="34"/>
      <c r="AJ87" s="34"/>
      <c r="AK87" s="34"/>
      <c r="AL87" s="34"/>
      <c r="AM87" s="34"/>
      <c r="AN87" s="34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</row>
    <row r="88" spans="1:107" s="32" customFormat="1" ht="26.65" customHeight="1" x14ac:dyDescent="0.25">
      <c r="A88" s="15">
        <v>48</v>
      </c>
      <c r="B88" s="12" t="s">
        <v>27</v>
      </c>
      <c r="C88" s="12" t="s">
        <v>8</v>
      </c>
      <c r="D88" s="15">
        <v>953.74</v>
      </c>
      <c r="E88" s="15">
        <v>1091.07</v>
      </c>
      <c r="F88" s="23">
        <f>E88/D88*100</f>
        <v>114.39910248075995</v>
      </c>
      <c r="G88" s="23">
        <v>1091.07</v>
      </c>
      <c r="H88" s="23">
        <v>1156.53</v>
      </c>
      <c r="I88" s="23">
        <v>1220.9000000000001</v>
      </c>
      <c r="J88" s="23">
        <f>G88/E88*100</f>
        <v>100</v>
      </c>
      <c r="K88" s="23">
        <f>H88/E88*100</f>
        <v>105.99961505677913</v>
      </c>
      <c r="L88" s="23">
        <f>I88/E88*100</f>
        <v>111.89932818242644</v>
      </c>
      <c r="M88" s="24">
        <v>1404.03</v>
      </c>
      <c r="N88" s="24">
        <v>100</v>
      </c>
      <c r="O88" s="24">
        <v>1484.06</v>
      </c>
      <c r="P88" s="23">
        <f>O88/M88*100</f>
        <v>105.7000206548293</v>
      </c>
      <c r="Q88" s="24">
        <v>1484.06</v>
      </c>
      <c r="R88" s="24">
        <f>Q88/O88*100</f>
        <v>100</v>
      </c>
      <c r="S88" s="24">
        <v>1629.49</v>
      </c>
      <c r="T88" s="24">
        <f t="shared" si="12"/>
        <v>109.79946902416344</v>
      </c>
      <c r="U88" s="23">
        <f>[14]Лист1!$AF$43/1000</f>
        <v>2.323</v>
      </c>
      <c r="V88" s="23">
        <v>2.3009599999999999</v>
      </c>
      <c r="W88" s="25">
        <f>V88</f>
        <v>2.3009599999999999</v>
      </c>
      <c r="X88" s="25">
        <f>W88</f>
        <v>2.3009599999999999</v>
      </c>
      <c r="Y88" s="23">
        <f>W88*Q88</f>
        <v>3414.7626975999997</v>
      </c>
      <c r="Z88" s="23">
        <f>X88*S88</f>
        <v>3749.3913103999998</v>
      </c>
      <c r="AA88" s="24"/>
      <c r="AB88" s="24"/>
      <c r="AC88" s="24"/>
      <c r="AD88" s="23">
        <f>Q88*1.09799999*X88</f>
        <v>3749.4094078171725</v>
      </c>
      <c r="AE88" s="23">
        <f>AD88-Z88</f>
        <v>1.809741717261204E-2</v>
      </c>
      <c r="AF88" s="15" t="s">
        <v>18</v>
      </c>
      <c r="AG88" s="15"/>
      <c r="AH88" s="31"/>
      <c r="AI88" s="31" t="s">
        <v>111</v>
      </c>
      <c r="AJ88" s="31">
        <v>2.1890000000000001</v>
      </c>
      <c r="AK88" s="31"/>
      <c r="AL88" s="31"/>
      <c r="AM88" s="31"/>
      <c r="AN88" s="31">
        <f>U88*Q88</f>
        <v>3447.47138</v>
      </c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</row>
    <row r="89" spans="1:107" s="32" customFormat="1" ht="26.65" customHeight="1" x14ac:dyDescent="0.25">
      <c r="A89" s="15">
        <v>83</v>
      </c>
      <c r="B89" s="12" t="s">
        <v>27</v>
      </c>
      <c r="C89" s="22" t="s">
        <v>116</v>
      </c>
      <c r="D89" s="22"/>
      <c r="E89" s="22"/>
      <c r="F89" s="22"/>
      <c r="G89" s="22"/>
      <c r="H89" s="22"/>
      <c r="I89" s="24">
        <v>1850</v>
      </c>
      <c r="J89" s="22"/>
      <c r="K89" s="22"/>
      <c r="L89" s="22"/>
      <c r="M89" s="24">
        <v>1850</v>
      </c>
      <c r="N89" s="24">
        <f>M89/I89*100</f>
        <v>100</v>
      </c>
      <c r="O89" s="33">
        <v>2139.11</v>
      </c>
      <c r="P89" s="23">
        <f>O89/M89*100</f>
        <v>115.62756756756758</v>
      </c>
      <c r="Q89" s="24">
        <v>2139.11</v>
      </c>
      <c r="R89" s="24">
        <f>Q89/O89*100</f>
        <v>100</v>
      </c>
      <c r="S89" s="24">
        <v>2348.59</v>
      </c>
      <c r="T89" s="24">
        <f>S89/Q89*100</f>
        <v>109.7928577772999</v>
      </c>
      <c r="U89" s="23">
        <f>W89</f>
        <v>5.16E-2</v>
      </c>
      <c r="V89" s="23">
        <f>U89</f>
        <v>5.16E-2</v>
      </c>
      <c r="W89" s="25">
        <f>51.6/1000</f>
        <v>5.16E-2</v>
      </c>
      <c r="X89" s="25">
        <f>W89</f>
        <v>5.16E-2</v>
      </c>
      <c r="Y89" s="23">
        <f>W89*Q89</f>
        <v>110.37807600000001</v>
      </c>
      <c r="Z89" s="23">
        <f>X89*S89</f>
        <v>121.18724400000001</v>
      </c>
      <c r="AA89" s="24"/>
      <c r="AB89" s="24"/>
      <c r="AC89" s="24"/>
      <c r="AD89" s="23">
        <f>Q89*1.097999999*X89</f>
        <v>121.19512733762194</v>
      </c>
      <c r="AE89" s="23">
        <f>AD89-Z89</f>
        <v>7.883337621933606E-3</v>
      </c>
      <c r="AF89" s="15" t="s">
        <v>17</v>
      </c>
      <c r="AG89" s="15"/>
      <c r="AH89" s="31"/>
      <c r="AI89" s="31"/>
      <c r="AJ89" s="31"/>
      <c r="AK89" s="31"/>
      <c r="AL89" s="31"/>
      <c r="AM89" s="31"/>
      <c r="AN89" s="31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</row>
    <row r="90" spans="1:107" s="45" customFormat="1" ht="25.9" customHeight="1" x14ac:dyDescent="0.25">
      <c r="A90" s="15">
        <v>49</v>
      </c>
      <c r="B90" s="12" t="s">
        <v>27</v>
      </c>
      <c r="C90" s="12" t="s">
        <v>150</v>
      </c>
      <c r="D90" s="15"/>
      <c r="E90" s="15">
        <v>1037.31</v>
      </c>
      <c r="F90" s="23"/>
      <c r="G90" s="23">
        <f>E90</f>
        <v>1037.31</v>
      </c>
      <c r="H90" s="23">
        <v>1097.47</v>
      </c>
      <c r="I90" s="23">
        <v>1151.4100000000001</v>
      </c>
      <c r="J90" s="23">
        <f>G90/E90*100</f>
        <v>100</v>
      </c>
      <c r="K90" s="23">
        <f>H90/E90*100</f>
        <v>105.79961631527701</v>
      </c>
      <c r="L90" s="23">
        <f>I90/E90*100</f>
        <v>110.99960474689341</v>
      </c>
      <c r="M90" s="24">
        <v>1151</v>
      </c>
      <c r="N90" s="24">
        <v>100</v>
      </c>
      <c r="O90" s="24">
        <v>1431.73</v>
      </c>
      <c r="P90" s="23">
        <f>O90/M90*100</f>
        <v>124.39009556907037</v>
      </c>
      <c r="Q90" s="24">
        <v>1431.73</v>
      </c>
      <c r="R90" s="24">
        <f>Q90/O90*100</f>
        <v>100</v>
      </c>
      <c r="S90" s="24">
        <v>1572.0395000000001</v>
      </c>
      <c r="T90" s="24">
        <f t="shared" si="12"/>
        <v>109.79999720617715</v>
      </c>
      <c r="U90" s="23">
        <v>1.0041</v>
      </c>
      <c r="V90" s="23">
        <v>1.0041</v>
      </c>
      <c r="W90" s="23">
        <v>1.0041</v>
      </c>
      <c r="X90" s="23">
        <v>1.0041</v>
      </c>
      <c r="Y90" s="23">
        <f>W90*Q90</f>
        <v>1437.600093</v>
      </c>
      <c r="Z90" s="23">
        <f>X90*S90</f>
        <v>1578.4848619500001</v>
      </c>
      <c r="AA90" s="24"/>
      <c r="AB90" s="24"/>
      <c r="AC90" s="24"/>
      <c r="AD90" s="23">
        <f>Q90*1.097999999*X90</f>
        <v>1578.4849006764</v>
      </c>
      <c r="AE90" s="23">
        <f>AD90-Z90</f>
        <v>3.872639990731841E-5</v>
      </c>
      <c r="AF90" s="15" t="s">
        <v>17</v>
      </c>
      <c r="AG90" s="15"/>
      <c r="AH90" s="44"/>
      <c r="AI90" s="44" t="s">
        <v>107</v>
      </c>
      <c r="AJ90" s="44">
        <v>1.21</v>
      </c>
      <c r="AK90" s="44"/>
      <c r="AL90" s="44">
        <f>Y90*1.18</f>
        <v>1696.3681097399999</v>
      </c>
      <c r="AM90" s="44">
        <f>Z90*1.18</f>
        <v>1862.6121371009999</v>
      </c>
      <c r="AN90" s="44">
        <f>U90*Q90</f>
        <v>1437.600093</v>
      </c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</row>
    <row r="91" spans="1:107" s="45" customFormat="1" ht="25.9" customHeight="1" x14ac:dyDescent="0.25">
      <c r="A91" s="76" t="s">
        <v>201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38"/>
      <c r="AH91" s="44"/>
      <c r="AI91" s="44"/>
      <c r="AJ91" s="44"/>
      <c r="AK91" s="44"/>
      <c r="AL91" s="44"/>
      <c r="AM91" s="44"/>
      <c r="AN91" s="44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</row>
    <row r="92" spans="1:107" s="45" customFormat="1" ht="25.9" customHeight="1" x14ac:dyDescent="0.25">
      <c r="A92" s="15">
        <v>87</v>
      </c>
      <c r="B92" s="12" t="s">
        <v>238</v>
      </c>
      <c r="C92" s="22" t="s">
        <v>120</v>
      </c>
      <c r="D92" s="22"/>
      <c r="E92" s="22"/>
      <c r="F92" s="22"/>
      <c r="G92" s="22"/>
      <c r="H92" s="22"/>
      <c r="I92" s="33">
        <v>1900.32</v>
      </c>
      <c r="J92" s="22"/>
      <c r="K92" s="22"/>
      <c r="L92" s="22"/>
      <c r="M92" s="33">
        <v>1900.32</v>
      </c>
      <c r="N92" s="24">
        <f>M92/I92*100</f>
        <v>100</v>
      </c>
      <c r="O92" s="33">
        <v>2202.67</v>
      </c>
      <c r="P92" s="23">
        <f>O92/M92*100</f>
        <v>115.91047823524461</v>
      </c>
      <c r="Q92" s="24">
        <v>2202.67</v>
      </c>
      <c r="R92" s="24">
        <f>Q92/O92*100</f>
        <v>100</v>
      </c>
      <c r="S92" s="24">
        <v>2418.41</v>
      </c>
      <c r="T92" s="24">
        <f>S92/Q92*100</f>
        <v>109.79447670327373</v>
      </c>
      <c r="U92" s="23">
        <f>W92</f>
        <v>9.7599999999999992E-2</v>
      </c>
      <c r="V92" s="23">
        <f>U92</f>
        <v>9.7599999999999992E-2</v>
      </c>
      <c r="W92" s="25">
        <f>97.6/1000</f>
        <v>9.7599999999999992E-2</v>
      </c>
      <c r="X92" s="25">
        <f>W92</f>
        <v>9.7599999999999992E-2</v>
      </c>
      <c r="Y92" s="23">
        <f>W92*Q92</f>
        <v>214.980592</v>
      </c>
      <c r="Z92" s="23">
        <f>X92*S92</f>
        <v>236.03681599999996</v>
      </c>
      <c r="AA92" s="24"/>
      <c r="AB92" s="24"/>
      <c r="AC92" s="24"/>
      <c r="AD92" s="23">
        <f>Q92*1.09799999*X92</f>
        <v>236.04868786619406</v>
      </c>
      <c r="AE92" s="23">
        <f>AD92-Z92</f>
        <v>1.1871866194098857E-2</v>
      </c>
      <c r="AF92" s="15" t="s">
        <v>17</v>
      </c>
      <c r="AG92" s="38"/>
      <c r="AH92" s="44"/>
      <c r="AI92" s="44"/>
      <c r="AJ92" s="44"/>
      <c r="AK92" s="44"/>
      <c r="AL92" s="44"/>
      <c r="AM92" s="44"/>
      <c r="AN92" s="44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</row>
    <row r="93" spans="1:107" s="35" customFormat="1" ht="18" customHeight="1" x14ac:dyDescent="0.25">
      <c r="A93" s="15">
        <v>50</v>
      </c>
      <c r="B93" s="12" t="s">
        <v>238</v>
      </c>
      <c r="C93" s="12" t="s">
        <v>7</v>
      </c>
      <c r="D93" s="15">
        <v>1039.6300000000001</v>
      </c>
      <c r="E93" s="15">
        <v>1189.26</v>
      </c>
      <c r="F93" s="23">
        <f>E93/D93*100</f>
        <v>114.39262045150677</v>
      </c>
      <c r="G93" s="23">
        <v>1189.26</v>
      </c>
      <c r="H93" s="23">
        <v>1259.43</v>
      </c>
      <c r="I93" s="23">
        <v>1329.95</v>
      </c>
      <c r="J93" s="23">
        <f>G93/E93*100</f>
        <v>100</v>
      </c>
      <c r="K93" s="23">
        <f>H93/E93*100</f>
        <v>105.90030775440191</v>
      </c>
      <c r="L93" s="23">
        <f>I93/E93*100</f>
        <v>111.83004557455898</v>
      </c>
      <c r="M93" s="23">
        <v>1532.09</v>
      </c>
      <c r="N93" s="23">
        <v>100</v>
      </c>
      <c r="O93" s="23">
        <v>1622.26</v>
      </c>
      <c r="P93" s="23">
        <f>O93/M93*100</f>
        <v>105.88542448550673</v>
      </c>
      <c r="Q93" s="23">
        <v>1622.26</v>
      </c>
      <c r="R93" s="24">
        <f>Q93/O93*100</f>
        <v>100</v>
      </c>
      <c r="S93" s="23">
        <v>1780.88</v>
      </c>
      <c r="T93" s="24">
        <f t="shared" si="12"/>
        <v>109.7777175052088</v>
      </c>
      <c r="U93" s="23">
        <f>8.7348</f>
        <v>8.7347999999999999</v>
      </c>
      <c r="V93" s="23">
        <f>U93</f>
        <v>8.7347999999999999</v>
      </c>
      <c r="W93" s="25">
        <f>V93-1.106</f>
        <v>7.6288</v>
      </c>
      <c r="X93" s="25">
        <f>W93</f>
        <v>7.6288</v>
      </c>
      <c r="Y93" s="23">
        <f>W93*Q93</f>
        <v>12375.897088</v>
      </c>
      <c r="Z93" s="23">
        <f>X93*S93</f>
        <v>13585.977344000001</v>
      </c>
      <c r="AA93" s="23"/>
      <c r="AB93" s="23"/>
      <c r="AC93" s="23"/>
      <c r="AD93" s="23">
        <f>Q93*1.0979999*X93</f>
        <v>13588.733765034291</v>
      </c>
      <c r="AE93" s="23">
        <f>AD93-Z93</f>
        <v>2.756421034289815</v>
      </c>
      <c r="AF93" s="15" t="s">
        <v>18</v>
      </c>
      <c r="AG93" s="38"/>
      <c r="AH93" s="34"/>
      <c r="AI93" s="34" t="s">
        <v>111</v>
      </c>
      <c r="AJ93" s="34">
        <v>7.29</v>
      </c>
      <c r="AK93" s="34"/>
      <c r="AL93" s="34"/>
      <c r="AM93" s="34"/>
      <c r="AN93" s="34">
        <f>U93*Q93</f>
        <v>14170.116647999999</v>
      </c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</row>
    <row r="94" spans="1:107" s="35" customFormat="1" ht="18" customHeight="1" x14ac:dyDescent="0.25">
      <c r="A94" s="76" t="s">
        <v>202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38"/>
      <c r="AH94" s="34"/>
      <c r="AI94" s="34"/>
      <c r="AJ94" s="34"/>
      <c r="AK94" s="34"/>
      <c r="AL94" s="34"/>
      <c r="AM94" s="34"/>
      <c r="AN94" s="34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  <c r="BZ94" s="27"/>
      <c r="CA94" s="27"/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</row>
    <row r="95" spans="1:107" s="35" customFormat="1" ht="27" customHeight="1" x14ac:dyDescent="0.25">
      <c r="A95" s="15">
        <v>85</v>
      </c>
      <c r="B95" s="12" t="s">
        <v>227</v>
      </c>
      <c r="C95" s="22" t="s">
        <v>118</v>
      </c>
      <c r="D95" s="22"/>
      <c r="E95" s="22"/>
      <c r="F95" s="22"/>
      <c r="G95" s="22"/>
      <c r="H95" s="22"/>
      <c r="I95" s="33">
        <v>1707.34</v>
      </c>
      <c r="J95" s="22"/>
      <c r="K95" s="22"/>
      <c r="L95" s="22"/>
      <c r="M95" s="33">
        <v>1707.34</v>
      </c>
      <c r="N95" s="24">
        <f>M95/I95*100</f>
        <v>100</v>
      </c>
      <c r="O95" s="33">
        <v>1986.39</v>
      </c>
      <c r="P95" s="23">
        <f>O95/M95*100</f>
        <v>116.3441376644371</v>
      </c>
      <c r="Q95" s="24">
        <v>1986.39</v>
      </c>
      <c r="R95" s="24">
        <f>Q95/O95*100</f>
        <v>100</v>
      </c>
      <c r="S95" s="24">
        <v>2180.9299999999998</v>
      </c>
      <c r="T95" s="24">
        <f>S95/Q95*100</f>
        <v>109.79364575939266</v>
      </c>
      <c r="U95" s="23">
        <f>W95</f>
        <v>0.11600000000000001</v>
      </c>
      <c r="V95" s="23">
        <f>U95</f>
        <v>0.11600000000000001</v>
      </c>
      <c r="W95" s="25">
        <f>116/1000</f>
        <v>0.11600000000000001</v>
      </c>
      <c r="X95" s="25">
        <f>W95</f>
        <v>0.11600000000000001</v>
      </c>
      <c r="Y95" s="23">
        <f>W95*Q95</f>
        <v>230.42124000000001</v>
      </c>
      <c r="Z95" s="23">
        <f>X95*S95</f>
        <v>252.98787999999999</v>
      </c>
      <c r="AA95" s="24"/>
      <c r="AB95" s="24"/>
      <c r="AC95" s="24"/>
      <c r="AD95" s="23">
        <f>Q95*1.09799999*X95</f>
        <v>253.0025192157876</v>
      </c>
      <c r="AE95" s="23">
        <f>AD95-Z95</f>
        <v>1.4639215787610738E-2</v>
      </c>
      <c r="AF95" s="15" t="s">
        <v>17</v>
      </c>
      <c r="AG95" s="38"/>
      <c r="AH95" s="34"/>
      <c r="AI95" s="34"/>
      <c r="AJ95" s="34"/>
      <c r="AK95" s="34"/>
      <c r="AL95" s="34"/>
      <c r="AM95" s="34"/>
      <c r="AN95" s="34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</row>
    <row r="96" spans="1:107" s="45" customFormat="1" ht="19.149999999999999" customHeight="1" x14ac:dyDescent="0.25">
      <c r="A96" s="15">
        <v>51</v>
      </c>
      <c r="B96" s="64" t="s">
        <v>35</v>
      </c>
      <c r="C96" s="12" t="s">
        <v>15</v>
      </c>
      <c r="D96" s="15">
        <v>410.67</v>
      </c>
      <c r="E96" s="23">
        <f>D96*1.143889</f>
        <v>469.76089562999999</v>
      </c>
      <c r="F96" s="23">
        <f>E96*1.143889</f>
        <v>537.35432114130504</v>
      </c>
      <c r="G96" s="23">
        <f>E96</f>
        <v>469.76089562999999</v>
      </c>
      <c r="H96" s="23">
        <v>497.94</v>
      </c>
      <c r="I96" s="24">
        <v>525.66</v>
      </c>
      <c r="J96" s="24">
        <f>G96/E96*100</f>
        <v>100</v>
      </c>
      <c r="K96" s="24">
        <f>H96/E96*100</f>
        <v>105.9986058082184</v>
      </c>
      <c r="L96" s="24">
        <f>I96/E96*100</f>
        <v>111.89948011637566</v>
      </c>
      <c r="M96" s="33">
        <v>605.5</v>
      </c>
      <c r="N96" s="24">
        <f>M96/I96*100</f>
        <v>115.18852490202794</v>
      </c>
      <c r="O96" s="24">
        <v>641.22</v>
      </c>
      <c r="P96" s="23">
        <f>O96/M96*100</f>
        <v>105.89925681255161</v>
      </c>
      <c r="Q96" s="24">
        <v>641.22</v>
      </c>
      <c r="R96" s="24">
        <f>Q96/O96*100</f>
        <v>100</v>
      </c>
      <c r="S96" s="24">
        <v>704.05</v>
      </c>
      <c r="T96" s="24">
        <f t="shared" si="12"/>
        <v>109.79850909204328</v>
      </c>
      <c r="U96" s="23">
        <v>3.8555000000000001</v>
      </c>
      <c r="V96" s="23">
        <f>U96</f>
        <v>3.8555000000000001</v>
      </c>
      <c r="W96" s="23">
        <v>1.4530000000000001</v>
      </c>
      <c r="X96" s="23">
        <f>W96</f>
        <v>1.4530000000000001</v>
      </c>
      <c r="Y96" s="23">
        <f>W96*Q96</f>
        <v>931.69266000000005</v>
      </c>
      <c r="Z96" s="23">
        <f>X96*S96</f>
        <v>1022.98465</v>
      </c>
      <c r="AA96" s="24"/>
      <c r="AB96" s="24"/>
      <c r="AC96" s="24"/>
      <c r="AD96" s="23">
        <f>Q96*1.097999999*X96</f>
        <v>1022.9985397483074</v>
      </c>
      <c r="AE96" s="23">
        <f>AD96-Z96</f>
        <v>1.388974830740608E-2</v>
      </c>
      <c r="AF96" s="15" t="s">
        <v>17</v>
      </c>
      <c r="AG96" s="41"/>
      <c r="AH96" s="44"/>
      <c r="AI96" s="44" t="s">
        <v>109</v>
      </c>
      <c r="AJ96" s="44">
        <v>3.1379999999999999</v>
      </c>
      <c r="AK96" s="44"/>
      <c r="AL96" s="44">
        <f>Y96*1.18</f>
        <v>1099.3973387999999</v>
      </c>
      <c r="AM96" s="44">
        <f>Z96*1.18</f>
        <v>1207.121887</v>
      </c>
      <c r="AN96" s="44">
        <f>U96*Q96</f>
        <v>2472.2237100000002</v>
      </c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</row>
    <row r="97" spans="1:107" s="45" customFormat="1" ht="19.149999999999999" customHeight="1" x14ac:dyDescent="0.25">
      <c r="A97" s="76" t="s">
        <v>203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41"/>
      <c r="AH97" s="44"/>
      <c r="AI97" s="44"/>
      <c r="AJ97" s="44"/>
      <c r="AK97" s="44"/>
      <c r="AL97" s="44"/>
      <c r="AM97" s="44"/>
      <c r="AN97" s="44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</row>
    <row r="98" spans="1:107" s="37" customFormat="1" ht="23.65" customHeight="1" x14ac:dyDescent="0.25">
      <c r="A98" s="15">
        <v>52</v>
      </c>
      <c r="B98" s="12" t="s">
        <v>34</v>
      </c>
      <c r="C98" s="12" t="s">
        <v>82</v>
      </c>
      <c r="D98" s="15">
        <v>1132.6300000000001</v>
      </c>
      <c r="E98" s="15">
        <v>470.59</v>
      </c>
      <c r="F98" s="23">
        <f>E98/D98*100</f>
        <v>41.548431526623872</v>
      </c>
      <c r="G98" s="23">
        <v>470.59</v>
      </c>
      <c r="H98" s="23">
        <v>498.82</v>
      </c>
      <c r="I98" s="23">
        <v>526.59</v>
      </c>
      <c r="J98" s="23">
        <f>G98/E98*100</f>
        <v>100</v>
      </c>
      <c r="K98" s="23">
        <f>H98/E98*100</f>
        <v>105.99885250430312</v>
      </c>
      <c r="L98" s="23">
        <f>I98/E98*100</f>
        <v>111.89995537516735</v>
      </c>
      <c r="M98" s="33">
        <v>606.63</v>
      </c>
      <c r="N98" s="24">
        <f>M98/I98*100</f>
        <v>115.1996809662166</v>
      </c>
      <c r="O98" s="33">
        <v>642.41999999999996</v>
      </c>
      <c r="P98" s="23">
        <f>O98/M98*100</f>
        <v>105.89980713120025</v>
      </c>
      <c r="Q98" s="24">
        <v>642.41999999999996</v>
      </c>
      <c r="R98" s="24">
        <f>Q98/O98*100</f>
        <v>100</v>
      </c>
      <c r="S98" s="24">
        <v>705.37</v>
      </c>
      <c r="T98" s="24">
        <f t="shared" si="12"/>
        <v>109.79888546433799</v>
      </c>
      <c r="U98" s="23">
        <f>(57082)/1000</f>
        <v>57.082000000000001</v>
      </c>
      <c r="V98" s="23">
        <f>U98</f>
        <v>57.082000000000001</v>
      </c>
      <c r="W98" s="25">
        <v>57.082000000000001</v>
      </c>
      <c r="X98" s="25">
        <f>W98</f>
        <v>57.082000000000001</v>
      </c>
      <c r="Y98" s="23">
        <f>W98*Q98</f>
        <v>36670.618439999998</v>
      </c>
      <c r="Z98" s="23">
        <f>X98*S98</f>
        <v>40263.930339999999</v>
      </c>
      <c r="AA98" s="24"/>
      <c r="AB98" s="24"/>
      <c r="AC98" s="24"/>
      <c r="AD98" s="23">
        <f>Q98*1.09799999*X98</f>
        <v>40264.338680413806</v>
      </c>
      <c r="AE98" s="23">
        <f>AD98-Z98</f>
        <v>0.40834041380730923</v>
      </c>
      <c r="AF98" s="15" t="s">
        <v>17</v>
      </c>
      <c r="AG98" s="41"/>
      <c r="AH98" s="36"/>
      <c r="AI98" s="36" t="s">
        <v>109</v>
      </c>
      <c r="AJ98" s="36"/>
      <c r="AK98" s="36"/>
      <c r="AL98" s="36">
        <f>Y98*1.18</f>
        <v>43271.329759199994</v>
      </c>
      <c r="AM98" s="36">
        <f>Z98*1.18</f>
        <v>47511.437801199994</v>
      </c>
      <c r="AN98" s="36">
        <f>U98*Q98</f>
        <v>36670.618439999998</v>
      </c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</row>
    <row r="99" spans="1:107" s="37" customFormat="1" ht="45.65" customHeight="1" x14ac:dyDescent="0.25">
      <c r="A99" s="15">
        <v>74</v>
      </c>
      <c r="B99" s="12" t="s">
        <v>228</v>
      </c>
      <c r="C99" s="22" t="s">
        <v>135</v>
      </c>
      <c r="D99" s="22"/>
      <c r="E99" s="22"/>
      <c r="F99" s="22"/>
      <c r="G99" s="22"/>
      <c r="H99" s="22"/>
      <c r="I99" s="33">
        <v>205.98</v>
      </c>
      <c r="J99" s="22"/>
      <c r="K99" s="22"/>
      <c r="L99" s="22"/>
      <c r="M99" s="33">
        <v>205.98</v>
      </c>
      <c r="N99" s="24">
        <f>M99/I99*100</f>
        <v>100</v>
      </c>
      <c r="O99" s="33">
        <v>734.14</v>
      </c>
      <c r="P99" s="23">
        <f>O99/M99*100</f>
        <v>356.41324400427226</v>
      </c>
      <c r="Q99" s="24">
        <v>734.14</v>
      </c>
      <c r="R99" s="24">
        <f>Q99/O99*100</f>
        <v>100</v>
      </c>
      <c r="S99" s="24">
        <v>822.23</v>
      </c>
      <c r="T99" s="24">
        <f>S99/Q99*100</f>
        <v>111.99907374615196</v>
      </c>
      <c r="U99" s="57">
        <f>(30599.48+4138.65)/1000</f>
        <v>34.738129999999998</v>
      </c>
      <c r="V99" s="23">
        <f>U99</f>
        <v>34.738129999999998</v>
      </c>
      <c r="W99" s="25">
        <f>(30599.48+4138.65)/1000</f>
        <v>34.738129999999998</v>
      </c>
      <c r="X99" s="25">
        <f>W99</f>
        <v>34.738129999999998</v>
      </c>
      <c r="Y99" s="23">
        <f>W99*Q99</f>
        <v>25502.650758199998</v>
      </c>
      <c r="Z99" s="23">
        <f>X99*S99</f>
        <v>28562.732629899998</v>
      </c>
      <c r="AA99" s="24"/>
      <c r="AB99" s="24"/>
      <c r="AC99" s="24"/>
      <c r="AD99" s="23">
        <f>Q99*1.098*X99</f>
        <v>28001.9105325036</v>
      </c>
      <c r="AE99" s="23">
        <f>AD99-Z99</f>
        <v>-560.82209739639802</v>
      </c>
      <c r="AF99" s="15" t="s">
        <v>17</v>
      </c>
      <c r="AG99" s="41"/>
      <c r="AH99" s="36"/>
      <c r="AI99" s="36"/>
      <c r="AJ99" s="36"/>
      <c r="AK99" s="36"/>
      <c r="AL99" s="36"/>
      <c r="AM99" s="36"/>
      <c r="AN99" s="36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7"/>
      <c r="CC99" s="27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  <c r="DA99" s="27"/>
      <c r="DB99" s="27"/>
      <c r="DC99" s="27"/>
    </row>
    <row r="100" spans="1:107" s="45" customFormat="1" ht="25.5" customHeight="1" x14ac:dyDescent="0.25">
      <c r="A100" s="15">
        <v>53</v>
      </c>
      <c r="B100" s="12" t="s">
        <v>36</v>
      </c>
      <c r="C100" s="12" t="s">
        <v>14</v>
      </c>
      <c r="D100" s="15">
        <v>933.08</v>
      </c>
      <c r="E100" s="15">
        <v>1064.8</v>
      </c>
      <c r="F100" s="23">
        <f>E100/D100*100</f>
        <v>114.11668881553562</v>
      </c>
      <c r="G100" s="23">
        <v>1064.8</v>
      </c>
      <c r="H100" s="23">
        <v>1128.68</v>
      </c>
      <c r="I100" s="23">
        <v>1191.2</v>
      </c>
      <c r="J100" s="23">
        <f>G100/E100*100</f>
        <v>100</v>
      </c>
      <c r="K100" s="23">
        <f>H100/E100*100</f>
        <v>105.99924868519909</v>
      </c>
      <c r="L100" s="23">
        <f>I100/E100*100</f>
        <v>111.87077385424493</v>
      </c>
      <c r="M100" s="23">
        <v>1372.26</v>
      </c>
      <c r="N100" s="23">
        <v>100</v>
      </c>
      <c r="O100" s="23">
        <v>1450.13</v>
      </c>
      <c r="P100" s="23">
        <f>O100/M100*100</f>
        <v>105.67458061883318</v>
      </c>
      <c r="Q100" s="23">
        <v>1450.13</v>
      </c>
      <c r="R100" s="24">
        <f>Q100/O100*100</f>
        <v>100</v>
      </c>
      <c r="S100" s="23">
        <v>1540.76</v>
      </c>
      <c r="T100" s="24">
        <f>S100/Q100*100</f>
        <v>106.24978450207911</v>
      </c>
      <c r="U100" s="23">
        <v>4.42</v>
      </c>
      <c r="V100" s="23">
        <v>4.42</v>
      </c>
      <c r="W100" s="23">
        <v>4.42</v>
      </c>
      <c r="X100" s="23">
        <f>W100</f>
        <v>4.42</v>
      </c>
      <c r="Y100" s="23">
        <f>W100*Q100</f>
        <v>6409.5746000000008</v>
      </c>
      <c r="Z100" s="23">
        <f>X100*S100</f>
        <v>6810.1592000000001</v>
      </c>
      <c r="AA100" s="23"/>
      <c r="AB100" s="23"/>
      <c r="AC100" s="23"/>
      <c r="AD100" s="23">
        <f>Q100*1.097999999*X100</f>
        <v>7037.712904390426</v>
      </c>
      <c r="AE100" s="23">
        <f>AD100-Z100</f>
        <v>227.55370439042599</v>
      </c>
      <c r="AF100" s="15" t="s">
        <v>18</v>
      </c>
      <c r="AG100" s="38"/>
      <c r="AH100" s="44"/>
      <c r="AI100" s="44" t="s">
        <v>111</v>
      </c>
      <c r="AJ100" s="44">
        <v>4.1760000000000002</v>
      </c>
      <c r="AK100" s="44"/>
      <c r="AL100" s="44"/>
      <c r="AM100" s="44"/>
      <c r="AN100" s="44">
        <f>U100*Q100</f>
        <v>6409.5746000000008</v>
      </c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  <c r="BY100" s="27"/>
      <c r="BZ100" s="27"/>
      <c r="CA100" s="27"/>
      <c r="CB100" s="27"/>
      <c r="CC100" s="27"/>
      <c r="CD100" s="27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27"/>
      <c r="CY100" s="27"/>
      <c r="CZ100" s="27"/>
      <c r="DA100" s="27"/>
      <c r="DB100" s="27"/>
      <c r="DC100" s="27"/>
    </row>
    <row r="101" spans="1:107" s="45" customFormat="1" ht="25.5" customHeight="1" x14ac:dyDescent="0.25">
      <c r="A101" s="76" t="s">
        <v>204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38"/>
      <c r="AH101" s="44"/>
      <c r="AI101" s="44"/>
      <c r="AJ101" s="44"/>
      <c r="AK101" s="44"/>
      <c r="AL101" s="44"/>
      <c r="AM101" s="44"/>
      <c r="AN101" s="44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  <c r="BY101" s="27"/>
      <c r="BZ101" s="27"/>
      <c r="CA101" s="27"/>
      <c r="CB101" s="27"/>
      <c r="CC101" s="27"/>
      <c r="CD101" s="27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27"/>
      <c r="CY101" s="27"/>
      <c r="CZ101" s="27"/>
      <c r="DA101" s="27"/>
      <c r="DB101" s="27"/>
      <c r="DC101" s="27"/>
    </row>
    <row r="102" spans="1:107" s="45" customFormat="1" ht="25.5" customHeight="1" x14ac:dyDescent="0.25">
      <c r="A102" s="15">
        <v>84</v>
      </c>
      <c r="B102" s="12" t="s">
        <v>42</v>
      </c>
      <c r="C102" s="22" t="s">
        <v>117</v>
      </c>
      <c r="D102" s="22"/>
      <c r="E102" s="22"/>
      <c r="F102" s="22"/>
      <c r="G102" s="22"/>
      <c r="H102" s="22"/>
      <c r="I102" s="33">
        <v>2176.16</v>
      </c>
      <c r="J102" s="22"/>
      <c r="K102" s="22"/>
      <c r="L102" s="22"/>
      <c r="M102" s="33">
        <v>2176.16</v>
      </c>
      <c r="N102" s="24">
        <f>M102/I102*100</f>
        <v>100</v>
      </c>
      <c r="O102" s="33">
        <v>2511.5500000000002</v>
      </c>
      <c r="P102" s="23">
        <f>O102/M102*100</f>
        <v>115.4120101463128</v>
      </c>
      <c r="Q102" s="24">
        <v>2511.5500000000002</v>
      </c>
      <c r="R102" s="24">
        <f>Q102/O102*100</f>
        <v>100</v>
      </c>
      <c r="S102" s="24">
        <v>2757.64</v>
      </c>
      <c r="T102" s="24">
        <f>S102/Q102*100</f>
        <v>109.79833170751128</v>
      </c>
      <c r="U102" s="23">
        <f>W102</f>
        <v>3.85E-2</v>
      </c>
      <c r="V102" s="23">
        <f>U102</f>
        <v>3.85E-2</v>
      </c>
      <c r="W102" s="25">
        <f>38.5/1000</f>
        <v>3.85E-2</v>
      </c>
      <c r="X102" s="25">
        <f>W102</f>
        <v>3.85E-2</v>
      </c>
      <c r="Y102" s="23">
        <f>W102*Q102</f>
        <v>96.694675000000004</v>
      </c>
      <c r="Z102" s="23">
        <f>X102*S102</f>
        <v>106.16914</v>
      </c>
      <c r="AA102" s="24"/>
      <c r="AB102" s="24"/>
      <c r="AC102" s="24"/>
      <c r="AD102" s="23">
        <f>Q102*1.0979999*X102</f>
        <v>106.17074348053251</v>
      </c>
      <c r="AE102" s="23">
        <f>AD102-Z102</f>
        <v>1.6034805325091384E-3</v>
      </c>
      <c r="AF102" s="15" t="s">
        <v>17</v>
      </c>
      <c r="AG102" s="38"/>
      <c r="AH102" s="44"/>
      <c r="AI102" s="44"/>
      <c r="AJ102" s="44"/>
      <c r="AK102" s="44"/>
      <c r="AL102" s="44"/>
      <c r="AM102" s="44"/>
      <c r="AN102" s="44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</row>
    <row r="103" spans="1:107" s="28" customFormat="1" ht="20.25" customHeight="1" x14ac:dyDescent="0.25">
      <c r="A103" s="15">
        <v>54</v>
      </c>
      <c r="B103" s="12" t="s">
        <v>42</v>
      </c>
      <c r="C103" s="12" t="s">
        <v>89</v>
      </c>
      <c r="D103" s="58">
        <v>821.36</v>
      </c>
      <c r="E103" s="58">
        <v>939</v>
      </c>
      <c r="F103" s="23">
        <f>E103/D103*100</f>
        <v>114.32258692899582</v>
      </c>
      <c r="G103" s="23">
        <v>939</v>
      </c>
      <c r="H103" s="23">
        <v>995.3</v>
      </c>
      <c r="I103" s="23">
        <v>1050.73</v>
      </c>
      <c r="J103" s="23">
        <f>G103/E103*100</f>
        <v>100</v>
      </c>
      <c r="K103" s="23">
        <f>H103/E103*100</f>
        <v>105.99574014909479</v>
      </c>
      <c r="L103" s="23">
        <f>I103/E103*100</f>
        <v>111.89882854100107</v>
      </c>
      <c r="M103" s="23">
        <v>1210.44</v>
      </c>
      <c r="N103" s="23">
        <v>100</v>
      </c>
      <c r="O103" s="23">
        <v>1281.8499999999999</v>
      </c>
      <c r="P103" s="23">
        <f>O103/M103*100</f>
        <v>105.89950761706486</v>
      </c>
      <c r="Q103" s="23">
        <f>O103</f>
        <v>1281.8499999999999</v>
      </c>
      <c r="R103" s="24">
        <f>Q103/O103*100</f>
        <v>100</v>
      </c>
      <c r="S103" s="23">
        <v>1407.47</v>
      </c>
      <c r="T103" s="24">
        <f>S103/Q103*100</f>
        <v>109.79989858407771</v>
      </c>
      <c r="U103" s="23">
        <v>4.2999000000000001</v>
      </c>
      <c r="V103" s="23">
        <f>U103</f>
        <v>4.2999000000000001</v>
      </c>
      <c r="W103" s="25">
        <v>4.2999000000000001</v>
      </c>
      <c r="X103" s="25">
        <f>W103</f>
        <v>4.2999000000000001</v>
      </c>
      <c r="Y103" s="23">
        <f>W103*Q103</f>
        <v>5511.8268149999994</v>
      </c>
      <c r="Z103" s="23">
        <f>X103*S103</f>
        <v>6051.9802530000006</v>
      </c>
      <c r="AA103" s="23"/>
      <c r="AB103" s="23"/>
      <c r="AC103" s="23"/>
      <c r="AD103" s="23">
        <f>Q103*1.09799999999999*X103</f>
        <v>6051.9858428699454</v>
      </c>
      <c r="AE103" s="23">
        <f>AD103-Z103</f>
        <v>5.5898699447425315E-3</v>
      </c>
      <c r="AF103" s="15" t="s">
        <v>41</v>
      </c>
      <c r="AG103" s="41"/>
      <c r="AH103" s="26"/>
      <c r="AI103" s="26" t="s">
        <v>106</v>
      </c>
      <c r="AJ103" s="26">
        <v>4.4000000000000004</v>
      </c>
      <c r="AK103" s="26"/>
      <c r="AL103" s="26"/>
      <c r="AM103" s="26"/>
      <c r="AN103" s="26">
        <f>U103*Q103</f>
        <v>5511.8268149999994</v>
      </c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  <c r="BZ103" s="27"/>
      <c r="CA103" s="27"/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  <c r="CY103" s="27"/>
      <c r="CZ103" s="27"/>
      <c r="DA103" s="27"/>
      <c r="DB103" s="27"/>
      <c r="DC103" s="27"/>
    </row>
    <row r="104" spans="1:107" s="28" customFormat="1" ht="20.25" customHeight="1" x14ac:dyDescent="0.25">
      <c r="A104" s="76" t="s">
        <v>205</v>
      </c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41"/>
      <c r="AH104" s="26"/>
      <c r="AI104" s="26"/>
      <c r="AJ104" s="26"/>
      <c r="AK104" s="26"/>
      <c r="AL104" s="26"/>
      <c r="AM104" s="26"/>
      <c r="AN104" s="26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  <c r="BY104" s="27"/>
      <c r="BZ104" s="27"/>
      <c r="CA104" s="27"/>
      <c r="CB104" s="27"/>
      <c r="CC104" s="27"/>
      <c r="CD104" s="27"/>
      <c r="CE104" s="27"/>
      <c r="CF104" s="27"/>
      <c r="CG104" s="27"/>
      <c r="CH104" s="27"/>
      <c r="CI104" s="27"/>
      <c r="CJ104" s="27"/>
      <c r="CK104" s="27"/>
      <c r="CL104" s="27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27"/>
      <c r="CY104" s="27"/>
      <c r="CZ104" s="27"/>
      <c r="DA104" s="27"/>
      <c r="DB104" s="27"/>
      <c r="DC104" s="27"/>
    </row>
    <row r="105" spans="1:107" s="40" customFormat="1" ht="21" customHeight="1" x14ac:dyDescent="0.25">
      <c r="A105" s="15">
        <v>55</v>
      </c>
      <c r="B105" s="12" t="s">
        <v>44</v>
      </c>
      <c r="C105" s="12" t="s">
        <v>80</v>
      </c>
      <c r="D105" s="15">
        <v>781.4</v>
      </c>
      <c r="E105" s="15">
        <v>893.92</v>
      </c>
      <c r="F105" s="23">
        <f>E105/D105*100</f>
        <v>114.39979523931405</v>
      </c>
      <c r="G105" s="23">
        <v>893.92</v>
      </c>
      <c r="H105" s="23">
        <v>947.55</v>
      </c>
      <c r="I105" s="23">
        <v>1000.29</v>
      </c>
      <c r="J105" s="23">
        <f>G105/E105*100</f>
        <v>100</v>
      </c>
      <c r="K105" s="23">
        <f>H105/E105*100</f>
        <v>105.99941829246464</v>
      </c>
      <c r="L105" s="23">
        <f>I105/E105*100</f>
        <v>111.89927510291749</v>
      </c>
      <c r="M105" s="24">
        <v>1152.33</v>
      </c>
      <c r="N105" s="24">
        <f>M105/I105*100</f>
        <v>115.19959211828569</v>
      </c>
      <c r="O105" s="24">
        <v>1220.31</v>
      </c>
      <c r="P105" s="23">
        <f>O105/M105*100</f>
        <v>105.89935174819713</v>
      </c>
      <c r="Q105" s="24">
        <v>1220.31</v>
      </c>
      <c r="R105" s="24">
        <f>Q105/O105*100</f>
        <v>100</v>
      </c>
      <c r="S105" s="24">
        <v>1339.9</v>
      </c>
      <c r="T105" s="24">
        <f>S105/Q105*100</f>
        <v>109.79996886037155</v>
      </c>
      <c r="U105" s="23">
        <f>(4705)/1000</f>
        <v>4.7050000000000001</v>
      </c>
      <c r="V105" s="23">
        <f>U105</f>
        <v>4.7050000000000001</v>
      </c>
      <c r="W105" s="25">
        <v>4.7050000000000001</v>
      </c>
      <c r="X105" s="25">
        <f>W105</f>
        <v>4.7050000000000001</v>
      </c>
      <c r="Y105" s="23">
        <f>W105*Q105</f>
        <v>5741.5585499999997</v>
      </c>
      <c r="Z105" s="23">
        <f>X105*S105</f>
        <v>6304.2295000000004</v>
      </c>
      <c r="AA105" s="24"/>
      <c r="AB105" s="24"/>
      <c r="AC105" s="24"/>
      <c r="AD105" s="23">
        <f>Q105*1.0979999*X105</f>
        <v>6304.2307137441449</v>
      </c>
      <c r="AE105" s="23">
        <f>AD105-Z105</f>
        <v>1.2137441444792785E-3</v>
      </c>
      <c r="AF105" s="15" t="s">
        <v>41</v>
      </c>
      <c r="AG105" s="41"/>
      <c r="AH105" s="39"/>
      <c r="AI105" s="39" t="s">
        <v>136</v>
      </c>
      <c r="AJ105" s="39">
        <v>4.6909999999999998</v>
      </c>
      <c r="AK105" s="39"/>
      <c r="AL105" s="39"/>
      <c r="AM105" s="39"/>
      <c r="AN105" s="39">
        <f>U105*Q105</f>
        <v>5741.5585499999997</v>
      </c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  <c r="BN105" s="27"/>
      <c r="BO105" s="27"/>
      <c r="BP105" s="27"/>
      <c r="BQ105" s="27"/>
      <c r="BR105" s="27"/>
      <c r="BS105" s="27"/>
      <c r="BT105" s="27"/>
      <c r="BU105" s="27"/>
      <c r="BV105" s="27"/>
      <c r="BW105" s="27"/>
      <c r="BX105" s="27"/>
      <c r="BY105" s="27"/>
      <c r="BZ105" s="27"/>
      <c r="CA105" s="27"/>
      <c r="CB105" s="27"/>
      <c r="CC105" s="27"/>
      <c r="CD105" s="27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27"/>
      <c r="CY105" s="27"/>
      <c r="CZ105" s="27"/>
      <c r="DA105" s="27"/>
      <c r="DB105" s="27"/>
      <c r="DC105" s="27"/>
    </row>
    <row r="106" spans="1:107" s="35" customFormat="1" ht="25.9" customHeight="1" x14ac:dyDescent="0.25">
      <c r="A106" s="15">
        <v>56</v>
      </c>
      <c r="B106" s="12" t="s">
        <v>44</v>
      </c>
      <c r="C106" s="12" t="s">
        <v>58</v>
      </c>
      <c r="D106" s="23">
        <f>564.69/1.18</f>
        <v>478.55084745762719</v>
      </c>
      <c r="E106" s="15">
        <v>547.45000000000005</v>
      </c>
      <c r="F106" s="23">
        <f>E106/D106*100</f>
        <v>114.39745701181178</v>
      </c>
      <c r="G106" s="23">
        <v>547.45000000000005</v>
      </c>
      <c r="H106" s="23">
        <v>580.29999999999995</v>
      </c>
      <c r="I106" s="23">
        <v>612.55999999999995</v>
      </c>
      <c r="J106" s="23">
        <f>G106/E106*100</f>
        <v>100</v>
      </c>
      <c r="K106" s="23">
        <f>H106/E106*100</f>
        <v>106.0005479952507</v>
      </c>
      <c r="L106" s="23">
        <f>I106/E106*100</f>
        <v>111.89332359119553</v>
      </c>
      <c r="M106" s="24">
        <v>705.66</v>
      </c>
      <c r="N106" s="24">
        <f>M106/I106*100</f>
        <v>115.1985111662531</v>
      </c>
      <c r="O106" s="24">
        <v>747.23</v>
      </c>
      <c r="P106" s="23">
        <f>O106/M106*100</f>
        <v>105.89093897911177</v>
      </c>
      <c r="Q106" s="24">
        <v>747.23</v>
      </c>
      <c r="R106" s="24">
        <f>Q106/O106*100</f>
        <v>100</v>
      </c>
      <c r="S106" s="24">
        <v>820.45</v>
      </c>
      <c r="T106" s="24">
        <f>S106/Q106*100</f>
        <v>109.79885711226798</v>
      </c>
      <c r="U106" s="23">
        <v>4.3055000000000003</v>
      </c>
      <c r="V106" s="23">
        <f>U106</f>
        <v>4.3055000000000003</v>
      </c>
      <c r="W106" s="25">
        <f>V106-2.9151</f>
        <v>1.3904000000000005</v>
      </c>
      <c r="X106" s="25">
        <f>W106</f>
        <v>1.3904000000000005</v>
      </c>
      <c r="Y106" s="23">
        <f>W106*Q106</f>
        <v>1038.9485920000004</v>
      </c>
      <c r="Z106" s="23">
        <f>X106*S106</f>
        <v>1140.7536800000005</v>
      </c>
      <c r="AA106" s="24"/>
      <c r="AB106" s="24"/>
      <c r="AC106" s="24"/>
      <c r="AD106" s="23">
        <f>Q106*1.0979999*X106</f>
        <v>1140.7654501211414</v>
      </c>
      <c r="AE106" s="23">
        <f>AD106-Z106</f>
        <v>1.1770121140898482E-2</v>
      </c>
      <c r="AF106" s="15" t="s">
        <v>17</v>
      </c>
      <c r="AG106" s="38"/>
      <c r="AH106" s="34"/>
      <c r="AI106" s="34" t="s">
        <v>111</v>
      </c>
      <c r="AJ106" s="34">
        <v>9.4990000000000006</v>
      </c>
      <c r="AK106" s="34"/>
      <c r="AL106" s="34">
        <f>Y106*1.18</f>
        <v>1225.9593385600003</v>
      </c>
      <c r="AM106" s="34">
        <f>Z106*1.18</f>
        <v>1346.0893424000005</v>
      </c>
      <c r="AN106" s="34">
        <f>U106*Q106</f>
        <v>3217.1987650000005</v>
      </c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</row>
    <row r="107" spans="1:107" s="35" customFormat="1" ht="25.9" customHeight="1" x14ac:dyDescent="0.25">
      <c r="A107" s="15">
        <v>58</v>
      </c>
      <c r="B107" s="12" t="s">
        <v>59</v>
      </c>
      <c r="C107" s="12" t="s">
        <v>60</v>
      </c>
      <c r="D107" s="23">
        <v>931.03389830508468</v>
      </c>
      <c r="E107" s="15">
        <v>1065.0899999999999</v>
      </c>
      <c r="F107" s="23">
        <v>114.39862736888095</v>
      </c>
      <c r="G107" s="23">
        <v>1065.0899999999999</v>
      </c>
      <c r="H107" s="23">
        <v>1128.99</v>
      </c>
      <c r="I107" s="23">
        <v>1191.83</v>
      </c>
      <c r="J107" s="23">
        <v>100</v>
      </c>
      <c r="K107" s="23">
        <v>105.9994930005915</v>
      </c>
      <c r="L107" s="23">
        <v>111.8994638950699</v>
      </c>
      <c r="M107" s="24">
        <v>1370.6</v>
      </c>
      <c r="N107" s="24">
        <v>114.99962242937332</v>
      </c>
      <c r="O107" s="24">
        <v>1451.46</v>
      </c>
      <c r="P107" s="23">
        <v>105.89960601196557</v>
      </c>
      <c r="Q107" s="24">
        <v>1451.46</v>
      </c>
      <c r="R107" s="24">
        <v>100</v>
      </c>
      <c r="S107" s="24">
        <v>1593.7</v>
      </c>
      <c r="T107" s="24">
        <v>109.79978779987047</v>
      </c>
      <c r="U107" s="23">
        <v>10.9505</v>
      </c>
      <c r="V107" s="23">
        <v>10.9505</v>
      </c>
      <c r="W107" s="25">
        <v>10.9505</v>
      </c>
      <c r="X107" s="25">
        <v>10.9505</v>
      </c>
      <c r="Y107" s="23">
        <v>15894.212730000001</v>
      </c>
      <c r="Z107" s="23">
        <v>17451.811850000002</v>
      </c>
      <c r="AA107" s="24"/>
      <c r="AB107" s="24"/>
      <c r="AC107" s="24"/>
      <c r="AD107" s="23">
        <v>17451.845575950581</v>
      </c>
      <c r="AE107" s="23">
        <v>3.3725950579537312E-2</v>
      </c>
      <c r="AF107" s="15" t="s">
        <v>17</v>
      </c>
      <c r="AG107" s="38"/>
      <c r="AH107" s="34"/>
      <c r="AI107" s="34"/>
      <c r="AJ107" s="34"/>
      <c r="AK107" s="34"/>
      <c r="AL107" s="34"/>
      <c r="AM107" s="34"/>
      <c r="AN107" s="34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  <c r="BY107" s="27"/>
      <c r="BZ107" s="27"/>
      <c r="CA107" s="27"/>
      <c r="CB107" s="27"/>
      <c r="CC107" s="27"/>
      <c r="CD107" s="27"/>
      <c r="CE107" s="27"/>
      <c r="CF107" s="27"/>
      <c r="CG107" s="27"/>
      <c r="CH107" s="27"/>
      <c r="CI107" s="27"/>
      <c r="CJ107" s="27"/>
      <c r="CK107" s="27"/>
      <c r="CL107" s="27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27"/>
      <c r="CY107" s="27"/>
      <c r="CZ107" s="27"/>
      <c r="DA107" s="27"/>
    </row>
    <row r="108" spans="1:107" s="35" customFormat="1" ht="25.9" customHeight="1" x14ac:dyDescent="0.25">
      <c r="A108" s="15">
        <v>59</v>
      </c>
      <c r="B108" s="12" t="s">
        <v>59</v>
      </c>
      <c r="C108" s="12" t="s">
        <v>81</v>
      </c>
      <c r="D108" s="23"/>
      <c r="E108" s="15">
        <v>602.97</v>
      </c>
      <c r="F108" s="23"/>
      <c r="G108" s="23">
        <v>602.97</v>
      </c>
      <c r="H108" s="23">
        <v>639.14</v>
      </c>
      <c r="I108" s="23">
        <v>674.72</v>
      </c>
      <c r="J108" s="23">
        <v>100</v>
      </c>
      <c r="K108" s="23">
        <v>105.99864006501151</v>
      </c>
      <c r="L108" s="23">
        <v>111.89943114914507</v>
      </c>
      <c r="M108" s="24">
        <v>777.27</v>
      </c>
      <c r="N108" s="24">
        <v>115.19889732036992</v>
      </c>
      <c r="O108" s="24">
        <v>823.12</v>
      </c>
      <c r="P108" s="23">
        <v>105.89885110707991</v>
      </c>
      <c r="Q108" s="24">
        <v>823.12</v>
      </c>
      <c r="R108" s="24">
        <v>100</v>
      </c>
      <c r="S108" s="24">
        <v>903.78</v>
      </c>
      <c r="T108" s="24">
        <v>109.7993002235397</v>
      </c>
      <c r="U108" s="23">
        <v>2.0920000000000001</v>
      </c>
      <c r="V108" s="23">
        <v>2.0920000000000001</v>
      </c>
      <c r="W108" s="25">
        <v>2.0920000000000001</v>
      </c>
      <c r="X108" s="25">
        <v>2.0920000000000001</v>
      </c>
      <c r="Y108" s="23">
        <v>1721.96704</v>
      </c>
      <c r="Z108" s="23">
        <v>1890.70776</v>
      </c>
      <c r="AA108" s="24"/>
      <c r="AB108" s="24"/>
      <c r="AC108" s="24"/>
      <c r="AD108" s="23">
        <v>1890.7197927003297</v>
      </c>
      <c r="AE108" s="23">
        <v>1.2032700329655199E-2</v>
      </c>
      <c r="AF108" s="15" t="s">
        <v>41</v>
      </c>
      <c r="AG108" s="38"/>
      <c r="AH108" s="34"/>
      <c r="AI108" s="34"/>
      <c r="AJ108" s="34"/>
      <c r="AK108" s="34"/>
      <c r="AL108" s="34"/>
      <c r="AM108" s="34"/>
      <c r="AN108" s="34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7"/>
      <c r="CI108" s="27"/>
      <c r="CJ108" s="27"/>
      <c r="CK108" s="27"/>
      <c r="CL108" s="27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27"/>
      <c r="CY108" s="27"/>
      <c r="CZ108" s="27"/>
      <c r="DA108" s="27"/>
    </row>
    <row r="109" spans="1:107" s="35" customFormat="1" ht="25.9" customHeight="1" x14ac:dyDescent="0.25">
      <c r="A109" s="15">
        <v>61</v>
      </c>
      <c r="B109" s="12" t="s">
        <v>45</v>
      </c>
      <c r="C109" s="12" t="s">
        <v>46</v>
      </c>
      <c r="D109" s="23">
        <v>1038.83</v>
      </c>
      <c r="E109" s="15">
        <v>1188.42</v>
      </c>
      <c r="F109" s="23">
        <v>114.39985368154559</v>
      </c>
      <c r="G109" s="23">
        <v>1188.42</v>
      </c>
      <c r="H109" s="23">
        <v>1259.72</v>
      </c>
      <c r="I109" s="23">
        <v>1329.84</v>
      </c>
      <c r="J109" s="23">
        <v>100</v>
      </c>
      <c r="K109" s="23">
        <v>105.9995624442537</v>
      </c>
      <c r="L109" s="23">
        <v>111.89983339223505</v>
      </c>
      <c r="M109" s="24">
        <v>1488.72</v>
      </c>
      <c r="N109" s="24">
        <v>111.9473019310594</v>
      </c>
      <c r="O109" s="24">
        <v>1537.9</v>
      </c>
      <c r="P109" s="23">
        <v>103.30350905475845</v>
      </c>
      <c r="Q109" s="24">
        <v>1537.9</v>
      </c>
      <c r="R109" s="24">
        <v>100</v>
      </c>
      <c r="S109" s="24">
        <v>1686.88</v>
      </c>
      <c r="T109" s="24">
        <v>109.687235841082</v>
      </c>
      <c r="U109" s="23">
        <v>3.7235</v>
      </c>
      <c r="V109" s="23">
        <v>3.7235</v>
      </c>
      <c r="W109" s="25">
        <v>3.7235</v>
      </c>
      <c r="X109" s="25">
        <v>3.7235</v>
      </c>
      <c r="Y109" s="23">
        <v>5726.3706500000008</v>
      </c>
      <c r="Z109" s="23">
        <v>6281.0976800000008</v>
      </c>
      <c r="AA109" s="24"/>
      <c r="AB109" s="24"/>
      <c r="AC109" s="24"/>
      <c r="AD109" s="23">
        <v>6287.5544010629355</v>
      </c>
      <c r="AE109" s="23">
        <v>6.4567210629347755</v>
      </c>
      <c r="AF109" s="15" t="s">
        <v>41</v>
      </c>
      <c r="AG109" s="38"/>
      <c r="AH109" s="34"/>
      <c r="AI109" s="34"/>
      <c r="AJ109" s="34"/>
      <c r="AK109" s="34"/>
      <c r="AL109" s="34"/>
      <c r="AM109" s="34"/>
      <c r="AN109" s="34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  <c r="BM109" s="27"/>
      <c r="BN109" s="27"/>
      <c r="BO109" s="27"/>
      <c r="BP109" s="27"/>
      <c r="BQ109" s="27"/>
      <c r="BR109" s="27"/>
      <c r="BS109" s="27"/>
      <c r="BT109" s="27"/>
      <c r="BU109" s="27"/>
      <c r="BV109" s="27"/>
      <c r="BW109" s="27"/>
      <c r="BX109" s="27"/>
      <c r="BY109" s="27"/>
      <c r="BZ109" s="27"/>
      <c r="CA109" s="27"/>
      <c r="CB109" s="27"/>
      <c r="CC109" s="27"/>
      <c r="CD109" s="27"/>
      <c r="CE109" s="27"/>
      <c r="CF109" s="27"/>
      <c r="CG109" s="27"/>
      <c r="CH109" s="27"/>
      <c r="CI109" s="27"/>
      <c r="CJ109" s="27"/>
      <c r="CK109" s="27"/>
      <c r="CL109" s="27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27"/>
      <c r="CY109" s="27"/>
      <c r="CZ109" s="27"/>
      <c r="DA109" s="27"/>
    </row>
    <row r="110" spans="1:107" s="35" customFormat="1" ht="25.9" customHeight="1" x14ac:dyDescent="0.25">
      <c r="A110" s="15">
        <v>78</v>
      </c>
      <c r="B110" s="12" t="s">
        <v>79</v>
      </c>
      <c r="C110" s="51" t="s">
        <v>128</v>
      </c>
      <c r="D110" s="22"/>
      <c r="E110" s="22"/>
      <c r="F110" s="22"/>
      <c r="G110" s="22"/>
      <c r="H110" s="22"/>
      <c r="I110" s="33">
        <v>640.62</v>
      </c>
      <c r="J110" s="22"/>
      <c r="K110" s="22"/>
      <c r="L110" s="22"/>
      <c r="M110" s="33">
        <v>640.62</v>
      </c>
      <c r="N110" s="24">
        <f>M110/I110*100</f>
        <v>100</v>
      </c>
      <c r="O110" s="33">
        <v>781.53</v>
      </c>
      <c r="P110" s="23">
        <f>O110/M110*100</f>
        <v>121.99587899222628</v>
      </c>
      <c r="Q110" s="24">
        <v>781.53</v>
      </c>
      <c r="R110" s="24">
        <f>Q110/O110*100</f>
        <v>100</v>
      </c>
      <c r="S110" s="24">
        <v>858.01</v>
      </c>
      <c r="T110" s="24">
        <f>S110/Q110*100</f>
        <v>109.78593272171253</v>
      </c>
      <c r="U110" s="23">
        <f>W110</f>
        <v>6.2386599999999994</v>
      </c>
      <c r="V110" s="23">
        <f>U110</f>
        <v>6.2386599999999994</v>
      </c>
      <c r="W110" s="25">
        <f>(3314.91+2923.75)/1000</f>
        <v>6.2386599999999994</v>
      </c>
      <c r="X110" s="25">
        <f>W110</f>
        <v>6.2386599999999994</v>
      </c>
      <c r="Y110" s="23">
        <f>W110*Q110</f>
        <v>4875.6999497999996</v>
      </c>
      <c r="Z110" s="23">
        <f>X110*S110</f>
        <v>5352.8326665999994</v>
      </c>
      <c r="AA110" s="24"/>
      <c r="AB110" s="24"/>
      <c r="AC110" s="24"/>
      <c r="AD110" s="23">
        <f>Q110*1.09799999*X110</f>
        <v>5353.518496123399</v>
      </c>
      <c r="AE110" s="23">
        <f>AD110-Z110</f>
        <v>0.68582952339966141</v>
      </c>
      <c r="AF110" s="15" t="s">
        <v>17</v>
      </c>
      <c r="AG110" s="38"/>
      <c r="AH110" s="34"/>
      <c r="AI110" s="34"/>
      <c r="AJ110" s="34"/>
      <c r="AK110" s="34"/>
      <c r="AL110" s="34"/>
      <c r="AM110" s="34"/>
      <c r="AN110" s="34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  <c r="BN110" s="27"/>
      <c r="BO110" s="27"/>
      <c r="BP110" s="27"/>
      <c r="BQ110" s="27"/>
      <c r="BR110" s="27"/>
      <c r="BS110" s="27"/>
      <c r="BT110" s="27"/>
      <c r="BU110" s="27"/>
      <c r="BV110" s="27"/>
      <c r="BW110" s="27"/>
      <c r="BX110" s="27"/>
      <c r="BY110" s="27"/>
      <c r="BZ110" s="27"/>
      <c r="CA110" s="27"/>
      <c r="CB110" s="27"/>
      <c r="CC110" s="27"/>
      <c r="CD110" s="27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27"/>
      <c r="CY110" s="27"/>
      <c r="CZ110" s="27"/>
      <c r="DA110" s="27"/>
    </row>
    <row r="111" spans="1:107" s="35" customFormat="1" ht="25.9" customHeight="1" x14ac:dyDescent="0.25">
      <c r="A111" s="15">
        <v>60</v>
      </c>
      <c r="B111" s="12" t="s">
        <v>79</v>
      </c>
      <c r="C111" s="12" t="s">
        <v>88</v>
      </c>
      <c r="D111" s="23"/>
      <c r="E111" s="15">
        <v>801.65</v>
      </c>
      <c r="F111" s="23"/>
      <c r="G111" s="23">
        <v>801.65</v>
      </c>
      <c r="H111" s="23">
        <v>849.7</v>
      </c>
      <c r="I111" s="23">
        <v>897.03</v>
      </c>
      <c r="J111" s="23">
        <v>100</v>
      </c>
      <c r="K111" s="23">
        <v>105.99388760681097</v>
      </c>
      <c r="L111" s="23">
        <v>111.89796045655835</v>
      </c>
      <c r="M111" s="24">
        <v>1033.3699999999999</v>
      </c>
      <c r="N111" s="24">
        <v>115.19904573983032</v>
      </c>
      <c r="O111" s="24">
        <v>1148.1207129038467</v>
      </c>
      <c r="P111" s="23">
        <v>111.10451366924208</v>
      </c>
      <c r="Q111" s="24">
        <v>1148.1207129038467</v>
      </c>
      <c r="R111" s="24">
        <v>100</v>
      </c>
      <c r="S111" s="24">
        <v>1285.8951984523085</v>
      </c>
      <c r="T111" s="24">
        <v>112.00000000000001</v>
      </c>
      <c r="U111" s="23">
        <v>15.585000000000001</v>
      </c>
      <c r="V111" s="23">
        <v>15.585000000000001</v>
      </c>
      <c r="W111" s="25">
        <v>15.585000000000001</v>
      </c>
      <c r="X111" s="25">
        <v>15.585000000000001</v>
      </c>
      <c r="Y111" s="23">
        <v>17893.46131060645</v>
      </c>
      <c r="Z111" s="23">
        <v>20040.67666787923</v>
      </c>
      <c r="AA111" s="24"/>
      <c r="AB111" s="24"/>
      <c r="AC111" s="24"/>
      <c r="AD111" s="23">
        <v>19647.020501152423</v>
      </c>
      <c r="AE111" s="23">
        <v>-393.65616672680699</v>
      </c>
      <c r="AF111" s="15" t="s">
        <v>17</v>
      </c>
      <c r="AG111" s="38"/>
      <c r="AH111" s="34"/>
      <c r="AI111" s="34"/>
      <c r="AJ111" s="34"/>
      <c r="AK111" s="34"/>
      <c r="AL111" s="34"/>
      <c r="AM111" s="34"/>
      <c r="AN111" s="34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  <c r="BM111" s="27"/>
      <c r="BN111" s="27"/>
      <c r="BO111" s="27"/>
      <c r="BP111" s="27"/>
      <c r="BQ111" s="27"/>
      <c r="BR111" s="27"/>
      <c r="BS111" s="27"/>
      <c r="BT111" s="27"/>
      <c r="BU111" s="27"/>
      <c r="BV111" s="27"/>
      <c r="BW111" s="27"/>
      <c r="BX111" s="27"/>
      <c r="BY111" s="27"/>
      <c r="BZ111" s="27"/>
      <c r="CA111" s="27"/>
      <c r="CB111" s="27"/>
      <c r="CC111" s="27"/>
      <c r="CD111" s="27"/>
      <c r="CE111" s="27"/>
      <c r="CF111" s="27"/>
      <c r="CG111" s="27"/>
      <c r="CH111" s="27"/>
      <c r="CI111" s="27"/>
      <c r="CJ111" s="27"/>
      <c r="CK111" s="27"/>
      <c r="CL111" s="27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27"/>
      <c r="CY111" s="27"/>
      <c r="CZ111" s="27"/>
      <c r="DA111" s="27"/>
    </row>
    <row r="112" spans="1:107" s="35" customFormat="1" ht="25.9" customHeight="1" x14ac:dyDescent="0.25">
      <c r="A112" s="76" t="s">
        <v>206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38"/>
      <c r="AH112" s="34"/>
      <c r="AI112" s="34"/>
      <c r="AJ112" s="34"/>
      <c r="AK112" s="34"/>
      <c r="AL112" s="34"/>
      <c r="AM112" s="34"/>
      <c r="AN112" s="34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  <c r="BM112" s="27"/>
      <c r="BN112" s="27"/>
      <c r="BO112" s="27"/>
      <c r="BP112" s="27"/>
      <c r="BQ112" s="27"/>
      <c r="BR112" s="27"/>
      <c r="BS112" s="27"/>
      <c r="BT112" s="27"/>
      <c r="BU112" s="27"/>
      <c r="BV112" s="27"/>
      <c r="BW112" s="27"/>
      <c r="BX112" s="27"/>
      <c r="BY112" s="27"/>
      <c r="BZ112" s="27"/>
      <c r="CA112" s="27"/>
      <c r="CB112" s="27"/>
      <c r="CC112" s="27"/>
      <c r="CD112" s="27"/>
      <c r="CE112" s="27"/>
      <c r="CF112" s="27"/>
      <c r="CG112" s="27"/>
      <c r="CH112" s="27"/>
      <c r="CI112" s="27"/>
      <c r="CJ112" s="27"/>
      <c r="CK112" s="27"/>
      <c r="CL112" s="27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27"/>
      <c r="CY112" s="27"/>
      <c r="CZ112" s="27"/>
      <c r="DA112" s="27"/>
    </row>
    <row r="113" spans="1:107" s="35" customFormat="1" ht="27.4" customHeight="1" x14ac:dyDescent="0.25">
      <c r="A113" s="15">
        <v>57</v>
      </c>
      <c r="B113" s="12" t="s">
        <v>152</v>
      </c>
      <c r="C113" s="64" t="s">
        <v>151</v>
      </c>
      <c r="D113" s="23"/>
      <c r="E113" s="15"/>
      <c r="F113" s="23"/>
      <c r="G113" s="23"/>
      <c r="H113" s="23"/>
      <c r="I113" s="23"/>
      <c r="J113" s="23"/>
      <c r="K113" s="23"/>
      <c r="L113" s="23"/>
      <c r="M113" s="24"/>
      <c r="N113" s="24"/>
      <c r="O113" s="24">
        <v>1774.23</v>
      </c>
      <c r="P113" s="23" t="e">
        <f>O113/M113*100</f>
        <v>#DIV/0!</v>
      </c>
      <c r="Q113" s="24">
        <v>1774.23</v>
      </c>
      <c r="R113" s="24">
        <f>Q113/O113*100</f>
        <v>100</v>
      </c>
      <c r="S113" s="24">
        <v>1947.31</v>
      </c>
      <c r="T113" s="24">
        <f>S113/Q113*100</f>
        <v>109.75521775643517</v>
      </c>
      <c r="U113" s="23">
        <f>2.0916</f>
        <v>2.0916000000000001</v>
      </c>
      <c r="V113" s="23">
        <f>U113</f>
        <v>2.0916000000000001</v>
      </c>
      <c r="W113" s="25">
        <f>V113-0.0124</f>
        <v>2.0792000000000002</v>
      </c>
      <c r="X113" s="25">
        <f>W113</f>
        <v>2.0792000000000002</v>
      </c>
      <c r="Y113" s="23">
        <f>W113*Q113</f>
        <v>3688.9790160000002</v>
      </c>
      <c r="Z113" s="23">
        <f>X113*S113</f>
        <v>4048.8469520000003</v>
      </c>
      <c r="AA113" s="24"/>
      <c r="AB113" s="24"/>
      <c r="AC113" s="24"/>
      <c r="AD113" s="23">
        <f>Q113*1.0979999*X113</f>
        <v>4050.498590670099</v>
      </c>
      <c r="AE113" s="23">
        <f>AD113-Z113</f>
        <v>1.6516386700986914</v>
      </c>
      <c r="AF113" s="15" t="s">
        <v>18</v>
      </c>
      <c r="AG113" s="38"/>
      <c r="AH113" s="34"/>
      <c r="AI113" s="34"/>
      <c r="AJ113" s="34"/>
      <c r="AK113" s="34"/>
      <c r="AL113" s="34"/>
      <c r="AM113" s="34"/>
      <c r="AN113" s="34">
        <f>U113*Q113</f>
        <v>3710.9794680000005</v>
      </c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  <c r="BM113" s="27"/>
      <c r="BN113" s="27"/>
      <c r="BO113" s="27"/>
      <c r="BP113" s="27"/>
      <c r="BQ113" s="27"/>
      <c r="BR113" s="27"/>
      <c r="BS113" s="27"/>
      <c r="BT113" s="27"/>
      <c r="BU113" s="27"/>
      <c r="BV113" s="27"/>
      <c r="BW113" s="27"/>
      <c r="BX113" s="27"/>
      <c r="BY113" s="27"/>
      <c r="BZ113" s="27"/>
      <c r="CA113" s="27"/>
      <c r="CB113" s="27"/>
      <c r="CC113" s="27"/>
      <c r="CD113" s="27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27"/>
      <c r="CY113" s="27"/>
      <c r="CZ113" s="27"/>
      <c r="DA113" s="27"/>
    </row>
    <row r="114" spans="1:107" s="35" customFormat="1" ht="27.4" customHeight="1" x14ac:dyDescent="0.25">
      <c r="A114" s="76" t="s">
        <v>207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38"/>
      <c r="AH114" s="34"/>
      <c r="AI114" s="34"/>
      <c r="AJ114" s="34"/>
      <c r="AK114" s="34"/>
      <c r="AL114" s="34"/>
      <c r="AM114" s="34"/>
      <c r="AN114" s="34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  <c r="CG114" s="27"/>
      <c r="CH114" s="27"/>
      <c r="CI114" s="27"/>
      <c r="CJ114" s="27"/>
      <c r="CK114" s="27"/>
      <c r="CL114" s="27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27"/>
      <c r="CY114" s="27"/>
      <c r="CZ114" s="27"/>
      <c r="DA114" s="27"/>
    </row>
    <row r="115" spans="1:107" s="35" customFormat="1" ht="24" customHeight="1" x14ac:dyDescent="0.25">
      <c r="A115" s="15">
        <v>62</v>
      </c>
      <c r="B115" s="12" t="s">
        <v>61</v>
      </c>
      <c r="C115" s="12" t="s">
        <v>62</v>
      </c>
      <c r="D115" s="23">
        <f>964.73/1.18</f>
        <v>817.56779661016958</v>
      </c>
      <c r="E115" s="12">
        <v>935.14</v>
      </c>
      <c r="F115" s="23">
        <f>E115/D115*100</f>
        <v>114.38072828667087</v>
      </c>
      <c r="G115" s="23">
        <v>935.14</v>
      </c>
      <c r="H115" s="23">
        <v>991.24</v>
      </c>
      <c r="I115" s="23">
        <v>1046.42</v>
      </c>
      <c r="J115" s="23">
        <f>G115/E115*100</f>
        <v>100</v>
      </c>
      <c r="K115" s="23">
        <f>H115/E115*100</f>
        <v>105.99910173877709</v>
      </c>
      <c r="L115" s="23">
        <f>I115/E115*100</f>
        <v>111.89982248647263</v>
      </c>
      <c r="M115" s="23">
        <v>1205.46</v>
      </c>
      <c r="N115" s="23">
        <v>100</v>
      </c>
      <c r="O115" s="23">
        <v>1276.4000000000001</v>
      </c>
      <c r="P115" s="23">
        <f>O115/M115*100</f>
        <v>105.88489041527716</v>
      </c>
      <c r="Q115" s="23">
        <v>1276.4000000000001</v>
      </c>
      <c r="R115" s="24">
        <f>Q115/O115*100</f>
        <v>100</v>
      </c>
      <c r="S115" s="23">
        <v>1401.21</v>
      </c>
      <c r="T115" s="24">
        <f>S115/Q115*100</f>
        <v>109.7782826700094</v>
      </c>
      <c r="U115" s="23">
        <v>5.0039999999999996</v>
      </c>
      <c r="V115" s="23">
        <f>U115</f>
        <v>5.0039999999999996</v>
      </c>
      <c r="W115" s="25">
        <f>V115-3.11</f>
        <v>1.8939999999999997</v>
      </c>
      <c r="X115" s="25">
        <f>W115</f>
        <v>1.8939999999999997</v>
      </c>
      <c r="Y115" s="23">
        <f>W115*Q115</f>
        <v>2417.5015999999996</v>
      </c>
      <c r="Z115" s="23">
        <f>X115*S115</f>
        <v>2653.8917399999996</v>
      </c>
      <c r="AA115" s="23"/>
      <c r="AB115" s="23"/>
      <c r="AC115" s="23"/>
      <c r="AD115" s="23">
        <f>Q115*1.0979999*X115</f>
        <v>2654.4165150498397</v>
      </c>
      <c r="AE115" s="23">
        <f>AD115-Z115</f>
        <v>0.52477504984017287</v>
      </c>
      <c r="AF115" s="15" t="s">
        <v>17</v>
      </c>
      <c r="AG115" s="38"/>
      <c r="AH115" s="34"/>
      <c r="AI115" s="34" t="s">
        <v>111</v>
      </c>
      <c r="AJ115" s="34">
        <v>5.3220000000000001</v>
      </c>
      <c r="AK115" s="34"/>
      <c r="AL115" s="34">
        <f>Y115*1.18</f>
        <v>2852.6518879999994</v>
      </c>
      <c r="AM115" s="34">
        <f>Z115*1.18</f>
        <v>3131.5922531999995</v>
      </c>
      <c r="AN115" s="34">
        <f>U115*Q115</f>
        <v>6387.1055999999999</v>
      </c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  <c r="CY115" s="27"/>
      <c r="CZ115" s="27"/>
      <c r="DA115" s="27"/>
    </row>
    <row r="116" spans="1:107" s="35" customFormat="1" ht="24" customHeight="1" x14ac:dyDescent="0.25">
      <c r="A116" s="15">
        <v>108</v>
      </c>
      <c r="B116" s="12" t="s">
        <v>61</v>
      </c>
      <c r="C116" s="22" t="s">
        <v>184</v>
      </c>
      <c r="D116" s="22"/>
      <c r="E116" s="22"/>
      <c r="F116" s="22"/>
      <c r="G116" s="22"/>
      <c r="H116" s="22"/>
      <c r="I116" s="33"/>
      <c r="J116" s="22"/>
      <c r="K116" s="22"/>
      <c r="L116" s="22"/>
      <c r="M116" s="33"/>
      <c r="N116" s="24"/>
      <c r="O116" s="59">
        <v>1097.79</v>
      </c>
      <c r="P116" s="24"/>
      <c r="Q116" s="59">
        <v>1097.79</v>
      </c>
      <c r="R116" s="24">
        <f>Q116/O116*100</f>
        <v>100</v>
      </c>
      <c r="S116" s="59">
        <v>1205.3599999999999</v>
      </c>
      <c r="T116" s="24">
        <f>S116/Q116*100</f>
        <v>109.79877754397471</v>
      </c>
      <c r="U116" s="23">
        <v>15.087</v>
      </c>
      <c r="V116" s="23">
        <f>U116</f>
        <v>15.087</v>
      </c>
      <c r="W116" s="23">
        <v>15.087</v>
      </c>
      <c r="X116" s="23">
        <f>W116</f>
        <v>15.087</v>
      </c>
      <c r="Y116" s="23">
        <f>W116*Q116</f>
        <v>16562.35773</v>
      </c>
      <c r="Z116" s="23">
        <f>X116*S116</f>
        <v>18185.266319999999</v>
      </c>
      <c r="AA116" s="24"/>
      <c r="AB116" s="24"/>
      <c r="AC116" s="24"/>
      <c r="AD116" s="23">
        <f>Q116*1.09799999*X116</f>
        <v>18185.468621916421</v>
      </c>
      <c r="AE116" s="23">
        <f>AD116-Z116</f>
        <v>0.20230191642258433</v>
      </c>
      <c r="AF116" s="15" t="s">
        <v>17</v>
      </c>
      <c r="AG116" s="38"/>
      <c r="AH116" s="34"/>
      <c r="AI116" s="34"/>
      <c r="AJ116" s="34"/>
      <c r="AK116" s="34"/>
      <c r="AL116" s="34"/>
      <c r="AM116" s="34"/>
      <c r="AN116" s="34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</row>
    <row r="117" spans="1:107" s="35" customFormat="1" ht="30.65" customHeight="1" x14ac:dyDescent="0.25">
      <c r="A117" s="15">
        <v>71</v>
      </c>
      <c r="B117" s="12" t="s">
        <v>61</v>
      </c>
      <c r="C117" s="51" t="s">
        <v>130</v>
      </c>
      <c r="D117" s="22"/>
      <c r="E117" s="22"/>
      <c r="F117" s="22"/>
      <c r="G117" s="22"/>
      <c r="H117" s="22"/>
      <c r="I117" s="33">
        <v>610.48</v>
      </c>
      <c r="J117" s="22"/>
      <c r="K117" s="22"/>
      <c r="L117" s="22"/>
      <c r="M117" s="33">
        <v>610.48</v>
      </c>
      <c r="N117" s="24">
        <f>M117/I117*100</f>
        <v>100</v>
      </c>
      <c r="O117" s="33">
        <v>744.76</v>
      </c>
      <c r="P117" s="23">
        <f>O117/M117*100</f>
        <v>121.99580657843008</v>
      </c>
      <c r="Q117" s="24">
        <v>744.76</v>
      </c>
      <c r="R117" s="24">
        <f>Q117/O117*100</f>
        <v>100</v>
      </c>
      <c r="S117" s="24">
        <v>817.7</v>
      </c>
      <c r="T117" s="24">
        <f>S117/Q117*100</f>
        <v>109.79375906332243</v>
      </c>
      <c r="U117" s="23">
        <v>4.2670000000000003</v>
      </c>
      <c r="V117" s="23">
        <f>U117</f>
        <v>4.2670000000000003</v>
      </c>
      <c r="W117" s="25">
        <v>4.2670000000000003</v>
      </c>
      <c r="X117" s="25">
        <f>W117</f>
        <v>4.2670000000000003</v>
      </c>
      <c r="Y117" s="23">
        <f>W117*Q117</f>
        <v>3177.8909200000003</v>
      </c>
      <c r="Z117" s="23">
        <f>X117*S117</f>
        <v>3489.1259000000005</v>
      </c>
      <c r="AA117" s="24"/>
      <c r="AB117" s="24"/>
      <c r="AC117" s="24"/>
      <c r="AD117" s="23">
        <f>Q117*1.09799999*X117</f>
        <v>3489.3241983810908</v>
      </c>
      <c r="AE117" s="23">
        <f>AD117-Z117</f>
        <v>0.19829838109035336</v>
      </c>
      <c r="AF117" s="15" t="s">
        <v>41</v>
      </c>
      <c r="AG117" s="38"/>
      <c r="AH117" s="34"/>
      <c r="AI117" s="34"/>
      <c r="AJ117" s="34"/>
      <c r="AK117" s="34"/>
      <c r="AL117" s="34"/>
      <c r="AM117" s="34"/>
      <c r="AN117" s="34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BY117" s="27"/>
      <c r="BZ117" s="27"/>
      <c r="CA117" s="27"/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</row>
    <row r="118" spans="1:107" s="35" customFormat="1" ht="24" customHeight="1" x14ac:dyDescent="0.25">
      <c r="A118" s="76" t="s">
        <v>208</v>
      </c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38"/>
      <c r="AH118" s="34"/>
      <c r="AI118" s="34"/>
      <c r="AJ118" s="34"/>
      <c r="AK118" s="34"/>
      <c r="AL118" s="34"/>
      <c r="AM118" s="34"/>
      <c r="AN118" s="34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</row>
    <row r="119" spans="1:107" s="35" customFormat="1" ht="24" customHeight="1" x14ac:dyDescent="0.25">
      <c r="A119" s="15">
        <v>93</v>
      </c>
      <c r="B119" s="12" t="s">
        <v>66</v>
      </c>
      <c r="C119" s="12" t="s">
        <v>163</v>
      </c>
      <c r="D119" s="22"/>
      <c r="E119" s="22"/>
      <c r="F119" s="22"/>
      <c r="G119" s="22"/>
      <c r="H119" s="22"/>
      <c r="I119" s="33"/>
      <c r="J119" s="22"/>
      <c r="K119" s="22"/>
      <c r="L119" s="22"/>
      <c r="M119" s="33"/>
      <c r="N119" s="24"/>
      <c r="O119" s="33">
        <v>1215.94</v>
      </c>
      <c r="P119" s="23" t="e">
        <f>O119/M119*100</f>
        <v>#DIV/0!</v>
      </c>
      <c r="Q119" s="33">
        <v>1215.94</v>
      </c>
      <c r="R119" s="24">
        <f>Q119/O119*100</f>
        <v>100</v>
      </c>
      <c r="S119" s="24">
        <v>1331.4</v>
      </c>
      <c r="T119" s="24">
        <f>S119/Q119*100</f>
        <v>109.4955343191276</v>
      </c>
      <c r="U119" s="23">
        <v>4.343</v>
      </c>
      <c r="V119" s="23">
        <v>4.343</v>
      </c>
      <c r="W119" s="23">
        <f>U119</f>
        <v>4.343</v>
      </c>
      <c r="X119" s="23">
        <f>W119</f>
        <v>4.343</v>
      </c>
      <c r="Y119" s="23">
        <f>W119*Q119</f>
        <v>5280.8274200000005</v>
      </c>
      <c r="Z119" s="23">
        <f>X119*S119</f>
        <v>5782.2701999999999</v>
      </c>
      <c r="AA119" s="24"/>
      <c r="AB119" s="24"/>
      <c r="AC119" s="24"/>
      <c r="AD119" s="23">
        <f>Q119*1.09799999*X119</f>
        <v>5798.3484543517252</v>
      </c>
      <c r="AE119" s="23">
        <f>AD119-Z119</f>
        <v>16.078254351725263</v>
      </c>
      <c r="AF119" s="15" t="s">
        <v>17</v>
      </c>
      <c r="AG119" s="38"/>
      <c r="AH119" s="34"/>
      <c r="AI119" s="34"/>
      <c r="AJ119" s="34"/>
      <c r="AK119" s="34"/>
      <c r="AL119" s="34"/>
      <c r="AM119" s="34"/>
      <c r="AN119" s="34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</row>
    <row r="120" spans="1:107" s="35" customFormat="1" ht="24" customHeight="1" x14ac:dyDescent="0.25">
      <c r="A120" s="15">
        <v>91</v>
      </c>
      <c r="B120" s="12" t="s">
        <v>66</v>
      </c>
      <c r="C120" s="22" t="s">
        <v>124</v>
      </c>
      <c r="D120" s="22"/>
      <c r="E120" s="22"/>
      <c r="F120" s="22"/>
      <c r="G120" s="22"/>
      <c r="H120" s="22"/>
      <c r="I120" s="33">
        <v>1881.26</v>
      </c>
      <c r="J120" s="22"/>
      <c r="K120" s="22"/>
      <c r="L120" s="22"/>
      <c r="M120" s="33">
        <v>1881.26</v>
      </c>
      <c r="N120" s="24">
        <f>M120/I120*100</f>
        <v>100</v>
      </c>
      <c r="O120" s="33">
        <v>2182.7800000000002</v>
      </c>
      <c r="P120" s="23">
        <f>O120/M120*100</f>
        <v>116.02755599970234</v>
      </c>
      <c r="Q120" s="24">
        <v>2182.7800000000002</v>
      </c>
      <c r="R120" s="24">
        <f>Q120/O120*100</f>
        <v>100</v>
      </c>
      <c r="S120" s="24">
        <v>2396.5</v>
      </c>
      <c r="T120" s="24">
        <f>S120/Q120*100</f>
        <v>109.79118371984349</v>
      </c>
      <c r="U120" s="23">
        <f>W120</f>
        <v>0.1008</v>
      </c>
      <c r="V120" s="23">
        <f>U120</f>
        <v>0.1008</v>
      </c>
      <c r="W120" s="25">
        <f>100.8/1000</f>
        <v>0.1008</v>
      </c>
      <c r="X120" s="25">
        <f>W120</f>
        <v>0.1008</v>
      </c>
      <c r="Y120" s="23">
        <f>W120*Q120</f>
        <v>220.02422400000003</v>
      </c>
      <c r="Z120" s="23">
        <f>X120*S120</f>
        <v>241.56720000000001</v>
      </c>
      <c r="AA120" s="24"/>
      <c r="AB120" s="24"/>
      <c r="AC120" s="24"/>
      <c r="AD120" s="23">
        <f>Q120*1.097999*X120</f>
        <v>241.58637792777603</v>
      </c>
      <c r="AE120" s="23">
        <f>AD120-Z120</f>
        <v>1.9177927776013348E-2</v>
      </c>
      <c r="AF120" s="15" t="s">
        <v>17</v>
      </c>
      <c r="AG120" s="38"/>
      <c r="AH120" s="34"/>
      <c r="AI120" s="34"/>
      <c r="AJ120" s="34"/>
      <c r="AK120" s="34"/>
      <c r="AL120" s="34"/>
      <c r="AM120" s="34"/>
      <c r="AN120" s="34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27"/>
      <c r="CY120" s="27"/>
      <c r="CZ120" s="27"/>
      <c r="DA120" s="27"/>
    </row>
    <row r="121" spans="1:107" s="45" customFormat="1" ht="19.899999999999999" customHeight="1" x14ac:dyDescent="0.25">
      <c r="A121" s="15">
        <v>64</v>
      </c>
      <c r="B121" s="12" t="s">
        <v>66</v>
      </c>
      <c r="C121" s="12" t="s">
        <v>67</v>
      </c>
      <c r="D121" s="12">
        <v>1066.8399999999999</v>
      </c>
      <c r="E121" s="12">
        <v>1200.77</v>
      </c>
      <c r="F121" s="12">
        <v>1200.77</v>
      </c>
      <c r="G121" s="12">
        <v>1200.77</v>
      </c>
      <c r="H121" s="23">
        <v>1272.8</v>
      </c>
      <c r="I121" s="23">
        <v>1343.66</v>
      </c>
      <c r="J121" s="23">
        <f>G121/E121*100</f>
        <v>100</v>
      </c>
      <c r="K121" s="23">
        <f>H121/E121*100</f>
        <v>105.99865086569451</v>
      </c>
      <c r="L121" s="23">
        <f>I121/E121*100</f>
        <v>111.8998642537705</v>
      </c>
      <c r="M121" s="33">
        <v>1545.21</v>
      </c>
      <c r="N121" s="23">
        <v>100</v>
      </c>
      <c r="O121" s="33">
        <v>1636.37</v>
      </c>
      <c r="P121" s="23">
        <f>O121/M121*100</f>
        <v>105.89952174785304</v>
      </c>
      <c r="Q121" s="23">
        <v>1636.37</v>
      </c>
      <c r="R121" s="24">
        <f>Q121/O121*100</f>
        <v>100</v>
      </c>
      <c r="S121" s="23">
        <v>1796.73</v>
      </c>
      <c r="T121" s="24">
        <f>S121/Q121*100</f>
        <v>109.79973966767909</v>
      </c>
      <c r="U121" s="23">
        <v>0.4718</v>
      </c>
      <c r="V121" s="23">
        <f>U121</f>
        <v>0.4718</v>
      </c>
      <c r="W121" s="23">
        <v>0.4718</v>
      </c>
      <c r="X121" s="23">
        <f>W121</f>
        <v>0.4718</v>
      </c>
      <c r="Y121" s="23">
        <f>W121*Q121</f>
        <v>772.03936599999997</v>
      </c>
      <c r="Z121" s="23">
        <f>X121*S121</f>
        <v>847.69721400000003</v>
      </c>
      <c r="AA121" s="23"/>
      <c r="AB121" s="23"/>
      <c r="AC121" s="23"/>
      <c r="AD121" s="23">
        <f>Q121*1.09799999*X121</f>
        <v>847.69921614760619</v>
      </c>
      <c r="AE121" s="23">
        <f>AD121-Z121</f>
        <v>2.0021476061629073E-3</v>
      </c>
      <c r="AF121" s="15" t="s">
        <v>41</v>
      </c>
      <c r="AG121" s="15"/>
      <c r="AH121" s="44"/>
      <c r="AI121" s="44" t="s">
        <v>107</v>
      </c>
      <c r="AJ121" s="44"/>
      <c r="AK121" s="44"/>
      <c r="AL121" s="44"/>
      <c r="AM121" s="44"/>
      <c r="AN121" s="44">
        <f>U121*Q121</f>
        <v>772.03936599999997</v>
      </c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  <c r="BP121" s="27"/>
      <c r="BQ121" s="27"/>
      <c r="BR121" s="27"/>
      <c r="BS121" s="27"/>
      <c r="BT121" s="27"/>
      <c r="BU121" s="27"/>
      <c r="BV121" s="27"/>
      <c r="BW121" s="27"/>
      <c r="BX121" s="27"/>
      <c r="BY121" s="27"/>
      <c r="BZ121" s="27"/>
      <c r="CA121" s="27"/>
      <c r="CB121" s="27"/>
      <c r="CC121" s="27"/>
      <c r="CD121" s="27"/>
      <c r="CE121" s="27"/>
      <c r="CF121" s="27"/>
      <c r="CG121" s="27"/>
      <c r="CH121" s="27"/>
      <c r="CI121" s="27"/>
      <c r="CJ121" s="27"/>
      <c r="CK121" s="27"/>
      <c r="CL121" s="27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27"/>
      <c r="CY121" s="27"/>
      <c r="CZ121" s="27"/>
      <c r="DA121" s="27"/>
      <c r="DB121" s="27"/>
      <c r="DC121" s="27"/>
    </row>
    <row r="122" spans="1:107" s="28" customFormat="1" ht="17.25" customHeight="1" x14ac:dyDescent="0.25">
      <c r="A122" s="76" t="s">
        <v>209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15"/>
      <c r="AH122" s="26"/>
      <c r="AI122" s="26"/>
      <c r="AJ122" s="26"/>
      <c r="AK122" s="26"/>
      <c r="AL122" s="26"/>
      <c r="AM122" s="26"/>
      <c r="AN122" s="26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7"/>
      <c r="CE122" s="27"/>
      <c r="CF122" s="27"/>
      <c r="CG122" s="27"/>
      <c r="CH122" s="27"/>
      <c r="CI122" s="27"/>
      <c r="CJ122" s="27"/>
      <c r="CK122" s="27"/>
      <c r="CL122" s="27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27"/>
      <c r="CY122" s="27"/>
      <c r="CZ122" s="27"/>
      <c r="DA122" s="27"/>
      <c r="DB122" s="27"/>
      <c r="DC122" s="27"/>
    </row>
    <row r="123" spans="1:107" s="28" customFormat="1" ht="34.15" customHeight="1" x14ac:dyDescent="0.25">
      <c r="A123" s="15">
        <v>86</v>
      </c>
      <c r="B123" s="12" t="s">
        <v>94</v>
      </c>
      <c r="C123" s="22" t="s">
        <v>119</v>
      </c>
      <c r="D123" s="22"/>
      <c r="E123" s="22"/>
      <c r="F123" s="22"/>
      <c r="G123" s="22"/>
      <c r="H123" s="22"/>
      <c r="I123" s="33">
        <v>2145.9299999999998</v>
      </c>
      <c r="J123" s="22"/>
      <c r="K123" s="22"/>
      <c r="L123" s="22"/>
      <c r="M123" s="33">
        <v>2145.9299999999998</v>
      </c>
      <c r="N123" s="24">
        <f>M123/I123*100</f>
        <v>100</v>
      </c>
      <c r="O123" s="33">
        <v>2489.9899999999998</v>
      </c>
      <c r="P123" s="23">
        <f>O123/M123*100</f>
        <v>116.03314180798068</v>
      </c>
      <c r="Q123" s="24">
        <v>2489.9899999999998</v>
      </c>
      <c r="R123" s="24">
        <f>Q123/O123*100</f>
        <v>100</v>
      </c>
      <c r="S123" s="24">
        <v>2733.95</v>
      </c>
      <c r="T123" s="24">
        <f>S123/Q123*100</f>
        <v>109.79762970935627</v>
      </c>
      <c r="U123" s="23">
        <f>W123</f>
        <v>8.6599999999999996E-2</v>
      </c>
      <c r="V123" s="23">
        <f>U123</f>
        <v>8.6599999999999996E-2</v>
      </c>
      <c r="W123" s="25">
        <f>86.6/1000</f>
        <v>8.6599999999999996E-2</v>
      </c>
      <c r="X123" s="25">
        <f>W123</f>
        <v>8.6599999999999996E-2</v>
      </c>
      <c r="Y123" s="23">
        <f>W123*Q123</f>
        <v>215.63313399999998</v>
      </c>
      <c r="Z123" s="23">
        <f>X123*S123</f>
        <v>236.76006999999998</v>
      </c>
      <c r="AA123" s="24"/>
      <c r="AB123" s="24"/>
      <c r="AC123" s="24"/>
      <c r="AD123" s="23">
        <f>Q123*1.097999999*X123</f>
        <v>236.76518091636686</v>
      </c>
      <c r="AE123" s="23">
        <f>AD123-Z123</f>
        <v>5.1109163668741076E-3</v>
      </c>
      <c r="AF123" s="15" t="s">
        <v>17</v>
      </c>
      <c r="AG123" s="15"/>
      <c r="AH123" s="26"/>
      <c r="AI123" s="26"/>
      <c r="AJ123" s="26"/>
      <c r="AK123" s="26"/>
      <c r="AL123" s="26"/>
      <c r="AM123" s="26"/>
      <c r="AN123" s="26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27"/>
      <c r="CY123" s="27"/>
      <c r="CZ123" s="27"/>
      <c r="DA123" s="27"/>
      <c r="DB123" s="27"/>
      <c r="DC123" s="27"/>
    </row>
    <row r="124" spans="1:107" s="32" customFormat="1" ht="21.4" customHeight="1" x14ac:dyDescent="0.25">
      <c r="A124" s="15">
        <v>68</v>
      </c>
      <c r="B124" s="12" t="s">
        <v>94</v>
      </c>
      <c r="C124" s="12" t="s">
        <v>95</v>
      </c>
      <c r="D124" s="12"/>
      <c r="E124" s="73" t="s">
        <v>103</v>
      </c>
      <c r="F124" s="73"/>
      <c r="G124" s="73"/>
      <c r="H124" s="73"/>
      <c r="I124" s="73"/>
      <c r="J124" s="73"/>
      <c r="K124" s="73"/>
      <c r="L124" s="73"/>
      <c r="M124" s="15">
        <v>1464.31</v>
      </c>
      <c r="N124" s="15">
        <v>0</v>
      </c>
      <c r="O124" s="15">
        <v>1297.98</v>
      </c>
      <c r="P124" s="23">
        <f t="shared" ref="P124:P142" si="26">O124/M124*100</f>
        <v>88.641066440849286</v>
      </c>
      <c r="Q124" s="23">
        <v>1297.98</v>
      </c>
      <c r="R124" s="24">
        <f t="shared" ref="R124:R135" si="27">Q124/O124*100</f>
        <v>100</v>
      </c>
      <c r="S124" s="23">
        <v>1380.76</v>
      </c>
      <c r="T124" s="24">
        <f>S124/Q124*100</f>
        <v>106.37760212021756</v>
      </c>
      <c r="U124" s="23">
        <f>[15]Лист4!$U$40/1000</f>
        <v>2.3329</v>
      </c>
      <c r="V124" s="23">
        <f t="shared" ref="V124:V135" si="28">U124</f>
        <v>2.3329</v>
      </c>
      <c r="W124" s="25">
        <f>V124</f>
        <v>2.3329</v>
      </c>
      <c r="X124" s="25">
        <f>W124</f>
        <v>2.3329</v>
      </c>
      <c r="Y124" s="23">
        <f>W124*Q124</f>
        <v>3028.057542</v>
      </c>
      <c r="Z124" s="23">
        <f>X124*S124</f>
        <v>3221.1750039999997</v>
      </c>
      <c r="AA124" s="23"/>
      <c r="AB124" s="23"/>
      <c r="AC124" s="23"/>
      <c r="AD124" s="23">
        <f>Q124*1.097999999*X124</f>
        <v>3324.8071780879422</v>
      </c>
      <c r="AE124" s="23">
        <f>AD124-Z124</f>
        <v>103.63217408794253</v>
      </c>
      <c r="AF124" s="15" t="s">
        <v>41</v>
      </c>
      <c r="AG124" s="15"/>
      <c r="AH124" s="31"/>
      <c r="AI124" s="31" t="s">
        <v>111</v>
      </c>
      <c r="AJ124" s="31"/>
      <c r="AK124" s="31"/>
      <c r="AL124" s="31"/>
      <c r="AM124" s="31"/>
      <c r="AN124" s="31">
        <f>U124*Q124</f>
        <v>3028.057542</v>
      </c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27"/>
      <c r="CY124" s="27"/>
      <c r="CZ124" s="27"/>
      <c r="DA124" s="27"/>
      <c r="DB124" s="27"/>
      <c r="DC124" s="27"/>
    </row>
    <row r="125" spans="1:107" s="32" customFormat="1" ht="21" customHeight="1" x14ac:dyDescent="0.25">
      <c r="A125" s="76" t="s">
        <v>211</v>
      </c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15"/>
      <c r="AH125" s="31"/>
      <c r="AI125" s="31"/>
      <c r="AJ125" s="31"/>
      <c r="AK125" s="31"/>
      <c r="AL125" s="31"/>
      <c r="AM125" s="31"/>
      <c r="AN125" s="31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  <c r="BY125" s="27"/>
      <c r="BZ125" s="27"/>
      <c r="CA125" s="27"/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27"/>
      <c r="CY125" s="27"/>
      <c r="CZ125" s="27"/>
      <c r="DA125" s="27"/>
      <c r="DB125" s="27"/>
      <c r="DC125" s="27"/>
    </row>
    <row r="126" spans="1:107" s="28" customFormat="1" ht="25" x14ac:dyDescent="0.25">
      <c r="A126" s="15">
        <v>81</v>
      </c>
      <c r="B126" s="12" t="s">
        <v>229</v>
      </c>
      <c r="C126" s="22" t="s">
        <v>125</v>
      </c>
      <c r="D126" s="22"/>
      <c r="E126" s="22"/>
      <c r="F126" s="22"/>
      <c r="G126" s="22"/>
      <c r="H126" s="22"/>
      <c r="I126" s="33">
        <v>1547.99</v>
      </c>
      <c r="J126" s="22"/>
      <c r="K126" s="22"/>
      <c r="L126" s="22"/>
      <c r="M126" s="33">
        <v>1547.99</v>
      </c>
      <c r="N126" s="24">
        <f t="shared" ref="N126:N135" si="29">M126/I126*100</f>
        <v>100</v>
      </c>
      <c r="O126" s="33">
        <v>1798.37</v>
      </c>
      <c r="P126" s="23">
        <f t="shared" si="26"/>
        <v>116.17452309123443</v>
      </c>
      <c r="Q126" s="24">
        <v>1798.37</v>
      </c>
      <c r="R126" s="24">
        <f t="shared" si="27"/>
        <v>100</v>
      </c>
      <c r="S126" s="24">
        <v>1974.55</v>
      </c>
      <c r="T126" s="24">
        <f>S126/Q126*100</f>
        <v>109.79664918787569</v>
      </c>
      <c r="U126" s="23">
        <f t="shared" ref="U126:U135" si="30">W126</f>
        <v>0.71099999999999997</v>
      </c>
      <c r="V126" s="23">
        <f t="shared" si="28"/>
        <v>0.71099999999999997</v>
      </c>
      <c r="W126" s="25">
        <f>71.1/100</f>
        <v>0.71099999999999997</v>
      </c>
      <c r="X126" s="25">
        <f t="shared" ref="X126:X135" si="31">W126</f>
        <v>0.71099999999999997</v>
      </c>
      <c r="Y126" s="23">
        <f>W126*Q126</f>
        <v>1278.6410699999999</v>
      </c>
      <c r="Z126" s="23">
        <f>X126*S126</f>
        <v>1403.9050499999998</v>
      </c>
      <c r="AA126" s="24"/>
      <c r="AB126" s="24"/>
      <c r="AC126" s="24"/>
      <c r="AD126" s="23">
        <f>Q126*1.09799999*X126</f>
        <v>1403.947882073589</v>
      </c>
      <c r="AE126" s="23">
        <f>AD126-Z126</f>
        <v>4.2832073589124775E-2</v>
      </c>
      <c r="AF126" s="15" t="s">
        <v>17</v>
      </c>
      <c r="AG126" s="15"/>
      <c r="AH126" s="26"/>
      <c r="AI126" s="26" t="s">
        <v>114</v>
      </c>
      <c r="AJ126" s="26"/>
      <c r="AK126" s="26"/>
      <c r="AL126" s="26">
        <f>Y126*1.18</f>
        <v>1508.7964625999998</v>
      </c>
      <c r="AM126" s="26">
        <f>Z126*1.18</f>
        <v>1656.6079589999997</v>
      </c>
      <c r="AN126" s="26">
        <f>U126*Q126</f>
        <v>1278.6410699999999</v>
      </c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7"/>
      <c r="BZ126" s="27"/>
      <c r="CA126" s="27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7"/>
      <c r="CR126" s="27"/>
      <c r="CS126" s="27"/>
      <c r="CT126" s="27"/>
      <c r="CU126" s="27"/>
      <c r="CV126" s="27"/>
      <c r="CW126" s="27"/>
      <c r="CX126" s="27"/>
      <c r="CY126" s="27"/>
      <c r="CZ126" s="27"/>
      <c r="DA126" s="27"/>
      <c r="DB126" s="27"/>
      <c r="DC126" s="27"/>
    </row>
    <row r="127" spans="1:107" s="28" customFormat="1" ht="13" x14ac:dyDescent="0.25">
      <c r="A127" s="76" t="s">
        <v>212</v>
      </c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15"/>
      <c r="AH127" s="26"/>
      <c r="AI127" s="26"/>
      <c r="AJ127" s="26"/>
      <c r="AK127" s="26"/>
      <c r="AL127" s="26"/>
      <c r="AM127" s="26"/>
      <c r="AN127" s="26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  <c r="BH127" s="27"/>
      <c r="BI127" s="27"/>
      <c r="BJ127" s="27"/>
      <c r="BK127" s="27"/>
      <c r="BL127" s="27"/>
      <c r="BM127" s="27"/>
      <c r="BN127" s="27"/>
      <c r="BO127" s="27"/>
      <c r="BP127" s="27"/>
      <c r="BQ127" s="27"/>
      <c r="BR127" s="27"/>
      <c r="BS127" s="27"/>
      <c r="BT127" s="27"/>
      <c r="BU127" s="27"/>
      <c r="BV127" s="27"/>
      <c r="BW127" s="27"/>
      <c r="BX127" s="27"/>
      <c r="BY127" s="27"/>
      <c r="BZ127" s="27"/>
      <c r="CA127" s="27"/>
      <c r="CB127" s="27"/>
      <c r="CC127" s="27"/>
      <c r="CD127" s="27"/>
      <c r="CE127" s="27"/>
      <c r="CF127" s="27"/>
      <c r="CG127" s="27"/>
      <c r="CH127" s="27"/>
      <c r="CI127" s="27"/>
      <c r="CJ127" s="27"/>
      <c r="CK127" s="27"/>
      <c r="CL127" s="27"/>
      <c r="CM127" s="27"/>
      <c r="CN127" s="27"/>
      <c r="CO127" s="27"/>
      <c r="CP127" s="27"/>
      <c r="CQ127" s="27"/>
      <c r="CR127" s="27"/>
      <c r="CS127" s="27"/>
      <c r="CT127" s="27"/>
      <c r="CU127" s="27"/>
      <c r="CV127" s="27"/>
      <c r="CW127" s="27"/>
      <c r="CX127" s="27"/>
      <c r="CY127" s="27"/>
      <c r="CZ127" s="27"/>
      <c r="DA127" s="27"/>
      <c r="DB127" s="27"/>
      <c r="DC127" s="27"/>
    </row>
    <row r="128" spans="1:107" s="28" customFormat="1" ht="25" x14ac:dyDescent="0.25">
      <c r="A128" s="15">
        <v>82</v>
      </c>
      <c r="B128" s="12" t="s">
        <v>230</v>
      </c>
      <c r="C128" s="22" t="s">
        <v>126</v>
      </c>
      <c r="D128" s="22"/>
      <c r="E128" s="22"/>
      <c r="F128" s="22"/>
      <c r="G128" s="22"/>
      <c r="H128" s="22"/>
      <c r="I128" s="33">
        <v>1153.22</v>
      </c>
      <c r="J128" s="22"/>
      <c r="K128" s="22"/>
      <c r="L128" s="22"/>
      <c r="M128" s="33">
        <v>1153.22</v>
      </c>
      <c r="N128" s="24">
        <f t="shared" si="29"/>
        <v>100</v>
      </c>
      <c r="O128" s="33">
        <v>1351.67</v>
      </c>
      <c r="P128" s="23">
        <f t="shared" si="26"/>
        <v>117.20833839163387</v>
      </c>
      <c r="Q128" s="24">
        <v>1351.67</v>
      </c>
      <c r="R128" s="24">
        <f t="shared" si="27"/>
        <v>100</v>
      </c>
      <c r="S128" s="24">
        <v>1484.11</v>
      </c>
      <c r="T128" s="24">
        <f>S128/Q128*100</f>
        <v>109.79824957275073</v>
      </c>
      <c r="U128" s="23">
        <f t="shared" si="30"/>
        <v>0.1416</v>
      </c>
      <c r="V128" s="23">
        <f t="shared" si="28"/>
        <v>0.1416</v>
      </c>
      <c r="W128" s="25">
        <f>141.6/1000</f>
        <v>0.1416</v>
      </c>
      <c r="X128" s="25">
        <f t="shared" si="31"/>
        <v>0.1416</v>
      </c>
      <c r="Y128" s="23">
        <f>W128*Q128</f>
        <v>191.39647200000002</v>
      </c>
      <c r="Z128" s="23">
        <f>X128*S128</f>
        <v>210.14997599999998</v>
      </c>
      <c r="AA128" s="24"/>
      <c r="AB128" s="24"/>
      <c r="AC128" s="24"/>
      <c r="AD128" s="23">
        <f>Q128*1.097999999*X128</f>
        <v>210.15332606460353</v>
      </c>
      <c r="AE128" s="23">
        <f>AD128-Z128</f>
        <v>3.3500646035520276E-3</v>
      </c>
      <c r="AF128" s="15" t="s">
        <v>17</v>
      </c>
      <c r="AG128" s="15"/>
      <c r="AH128" s="26"/>
      <c r="AI128" s="26" t="s">
        <v>114</v>
      </c>
      <c r="AJ128" s="26"/>
      <c r="AK128" s="26"/>
      <c r="AL128" s="26">
        <f>Y128*1.18</f>
        <v>225.84783696</v>
      </c>
      <c r="AM128" s="26">
        <f>Z128*1.18</f>
        <v>247.97697167999996</v>
      </c>
      <c r="AN128" s="26">
        <f>U128*Q128</f>
        <v>191.39647200000002</v>
      </c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27"/>
      <c r="BR128" s="27"/>
      <c r="BS128" s="27"/>
      <c r="BT128" s="27"/>
      <c r="BU128" s="27"/>
      <c r="BV128" s="27"/>
      <c r="BW128" s="27"/>
      <c r="BX128" s="27"/>
      <c r="BY128" s="27"/>
      <c r="BZ128" s="27"/>
      <c r="CA128" s="27"/>
      <c r="CB128" s="27"/>
      <c r="CC128" s="27"/>
      <c r="CD128" s="27"/>
      <c r="CE128" s="27"/>
      <c r="CF128" s="27"/>
      <c r="CG128" s="27"/>
      <c r="CH128" s="27"/>
      <c r="CI128" s="27"/>
      <c r="CJ128" s="27"/>
      <c r="CK128" s="27"/>
      <c r="CL128" s="27"/>
      <c r="CM128" s="27"/>
      <c r="CN128" s="27"/>
      <c r="CO128" s="27"/>
      <c r="CP128" s="27"/>
      <c r="CQ128" s="27"/>
      <c r="CR128" s="27"/>
      <c r="CS128" s="27"/>
      <c r="CT128" s="27"/>
      <c r="CU128" s="27"/>
      <c r="CV128" s="27"/>
      <c r="CW128" s="27"/>
      <c r="CX128" s="27"/>
      <c r="CY128" s="27"/>
      <c r="CZ128" s="27"/>
      <c r="DA128" s="27"/>
      <c r="DB128" s="27"/>
      <c r="DC128" s="27"/>
    </row>
    <row r="129" spans="1:107" s="28" customFormat="1" ht="13" x14ac:dyDescent="0.25">
      <c r="A129" s="77" t="s">
        <v>213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15"/>
      <c r="AH129" s="26"/>
      <c r="AI129" s="26" t="s">
        <v>114</v>
      </c>
      <c r="AJ129" s="26"/>
      <c r="AK129" s="26"/>
      <c r="AL129" s="26">
        <f>Y123*1.18</f>
        <v>254.44709811999996</v>
      </c>
      <c r="AM129" s="26">
        <f>Z123*1.18</f>
        <v>279.37688259999999</v>
      </c>
      <c r="AN129" s="26">
        <f>U123*Q123</f>
        <v>215.63313399999998</v>
      </c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  <c r="BH129" s="27"/>
      <c r="BI129" s="27"/>
      <c r="BJ129" s="27"/>
      <c r="BK129" s="27"/>
      <c r="BL129" s="27"/>
      <c r="BM129" s="27"/>
      <c r="BN129" s="27"/>
      <c r="BO129" s="27"/>
      <c r="BP129" s="27"/>
      <c r="BQ129" s="27"/>
      <c r="BR129" s="27"/>
      <c r="BS129" s="27"/>
      <c r="BT129" s="27"/>
      <c r="BU129" s="27"/>
      <c r="BV129" s="27"/>
      <c r="BW129" s="27"/>
      <c r="BX129" s="27"/>
      <c r="BY129" s="27"/>
      <c r="BZ129" s="27"/>
      <c r="CA129" s="27"/>
      <c r="CB129" s="27"/>
      <c r="CC129" s="27"/>
      <c r="CD129" s="27"/>
      <c r="CE129" s="27"/>
      <c r="CF129" s="27"/>
      <c r="CG129" s="27"/>
      <c r="CH129" s="27"/>
      <c r="CI129" s="27"/>
      <c r="CJ129" s="27"/>
      <c r="CK129" s="27"/>
      <c r="CL129" s="27"/>
      <c r="CM129" s="27"/>
      <c r="CN129" s="27"/>
      <c r="CO129" s="27"/>
      <c r="CP129" s="27"/>
      <c r="CQ129" s="27"/>
      <c r="CR129" s="27"/>
      <c r="CS129" s="27"/>
      <c r="CT129" s="27"/>
      <c r="CU129" s="27"/>
      <c r="CV129" s="27"/>
      <c r="CW129" s="27"/>
      <c r="CX129" s="27"/>
      <c r="CY129" s="27"/>
      <c r="CZ129" s="27"/>
      <c r="DA129" s="27"/>
      <c r="DB129" s="27"/>
      <c r="DC129" s="27"/>
    </row>
    <row r="130" spans="1:107" s="28" customFormat="1" ht="25" x14ac:dyDescent="0.25">
      <c r="A130" s="15">
        <v>88</v>
      </c>
      <c r="B130" s="12" t="s">
        <v>231</v>
      </c>
      <c r="C130" s="22" t="s">
        <v>121</v>
      </c>
      <c r="D130" s="22"/>
      <c r="E130" s="22"/>
      <c r="F130" s="22"/>
      <c r="G130" s="22"/>
      <c r="H130" s="22"/>
      <c r="I130" s="33">
        <v>1014.57</v>
      </c>
      <c r="J130" s="22"/>
      <c r="K130" s="22"/>
      <c r="L130" s="22"/>
      <c r="M130" s="33">
        <v>1014.57</v>
      </c>
      <c r="N130" s="24">
        <f t="shared" si="29"/>
        <v>100</v>
      </c>
      <c r="O130" s="33">
        <v>1197.18</v>
      </c>
      <c r="P130" s="23">
        <f t="shared" si="26"/>
        <v>117.99875809456223</v>
      </c>
      <c r="Q130" s="24">
        <v>1197.18</v>
      </c>
      <c r="R130" s="24">
        <f t="shared" si="27"/>
        <v>100</v>
      </c>
      <c r="S130" s="24">
        <v>1314.43</v>
      </c>
      <c r="T130" s="24">
        <f>S130/Q130*100</f>
        <v>109.7938488781971</v>
      </c>
      <c r="U130" s="23">
        <f t="shared" si="30"/>
        <v>0.13800000000000001</v>
      </c>
      <c r="V130" s="23">
        <f t="shared" si="28"/>
        <v>0.13800000000000001</v>
      </c>
      <c r="W130" s="25">
        <f>138/1000</f>
        <v>0.13800000000000001</v>
      </c>
      <c r="X130" s="25">
        <f t="shared" si="31"/>
        <v>0.13800000000000001</v>
      </c>
      <c r="Y130" s="23">
        <f>W130*Q130</f>
        <v>165.21084000000002</v>
      </c>
      <c r="Z130" s="23">
        <f>X130*S130</f>
        <v>181.39134000000001</v>
      </c>
      <c r="AA130" s="24"/>
      <c r="AB130" s="24"/>
      <c r="AC130" s="24"/>
      <c r="AD130" s="23">
        <f>Q130*1.09799999*X130</f>
        <v>181.40150066789161</v>
      </c>
      <c r="AE130" s="23">
        <f>AD130-Z130</f>
        <v>1.0160667891597086E-2</v>
      </c>
      <c r="AF130" s="15" t="s">
        <v>17</v>
      </c>
      <c r="AG130" s="15"/>
      <c r="AH130" s="26"/>
      <c r="AI130" s="26" t="s">
        <v>114</v>
      </c>
      <c r="AJ130" s="26"/>
      <c r="AK130" s="26"/>
      <c r="AL130" s="26">
        <f>Y130*1.18</f>
        <v>194.94879120000002</v>
      </c>
      <c r="AM130" s="26">
        <f>Z130*1.18</f>
        <v>214.0417812</v>
      </c>
      <c r="AN130" s="26">
        <f>U130*Q130</f>
        <v>165.21084000000002</v>
      </c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7"/>
      <c r="CC130" s="27"/>
      <c r="CD130" s="27"/>
      <c r="CE130" s="27"/>
      <c r="CF130" s="27"/>
      <c r="CG130" s="27"/>
      <c r="CH130" s="27"/>
      <c r="CI130" s="27"/>
      <c r="CJ130" s="27"/>
      <c r="CK130" s="27"/>
      <c r="CL130" s="27"/>
      <c r="CM130" s="27"/>
      <c r="CN130" s="27"/>
      <c r="CO130" s="27"/>
      <c r="CP130" s="27"/>
      <c r="CQ130" s="27"/>
      <c r="CR130" s="27"/>
      <c r="CS130" s="27"/>
      <c r="CT130" s="27"/>
      <c r="CU130" s="27"/>
      <c r="CV130" s="27"/>
      <c r="CW130" s="27"/>
      <c r="CX130" s="27"/>
      <c r="CY130" s="27"/>
      <c r="CZ130" s="27"/>
      <c r="DA130" s="27"/>
      <c r="DB130" s="27"/>
      <c r="DC130" s="27"/>
    </row>
    <row r="131" spans="1:107" s="28" customFormat="1" ht="13" x14ac:dyDescent="0.25">
      <c r="A131" s="76" t="s">
        <v>214</v>
      </c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15"/>
      <c r="AH131" s="26"/>
      <c r="AI131" s="26"/>
      <c r="AJ131" s="26"/>
      <c r="AK131" s="26"/>
      <c r="AL131" s="26"/>
      <c r="AM131" s="26"/>
      <c r="AN131" s="26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27"/>
      <c r="BR131" s="27"/>
      <c r="BS131" s="27"/>
      <c r="BT131" s="27"/>
      <c r="BU131" s="27"/>
      <c r="BV131" s="27"/>
      <c r="BW131" s="27"/>
      <c r="BX131" s="27"/>
      <c r="BY131" s="27"/>
      <c r="BZ131" s="27"/>
      <c r="CA131" s="27"/>
      <c r="CB131" s="27"/>
      <c r="CC131" s="27"/>
      <c r="CD131" s="27"/>
      <c r="CE131" s="27"/>
      <c r="CF131" s="27"/>
      <c r="CG131" s="27"/>
      <c r="CH131" s="27"/>
      <c r="CI131" s="27"/>
      <c r="CJ131" s="27"/>
      <c r="CK131" s="27"/>
      <c r="CL131" s="27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27"/>
      <c r="CY131" s="27"/>
      <c r="CZ131" s="27"/>
      <c r="DA131" s="27"/>
      <c r="DB131" s="27"/>
      <c r="DC131" s="27"/>
    </row>
    <row r="132" spans="1:107" s="28" customFormat="1" ht="25" x14ac:dyDescent="0.25">
      <c r="A132" s="15">
        <v>89</v>
      </c>
      <c r="B132" s="12" t="s">
        <v>232</v>
      </c>
      <c r="C132" s="22" t="s">
        <v>122</v>
      </c>
      <c r="D132" s="22"/>
      <c r="E132" s="22"/>
      <c r="F132" s="22"/>
      <c r="G132" s="22"/>
      <c r="H132" s="22"/>
      <c r="I132" s="33">
        <v>2040.56</v>
      </c>
      <c r="J132" s="22"/>
      <c r="K132" s="22"/>
      <c r="L132" s="22"/>
      <c r="M132" s="33">
        <v>2040.56</v>
      </c>
      <c r="N132" s="24">
        <f t="shared" si="29"/>
        <v>100</v>
      </c>
      <c r="O132" s="33">
        <v>2356.31</v>
      </c>
      <c r="P132" s="23">
        <f t="shared" si="26"/>
        <v>115.47369349590309</v>
      </c>
      <c r="Q132" s="24">
        <v>2356.31</v>
      </c>
      <c r="R132" s="24">
        <f t="shared" si="27"/>
        <v>100</v>
      </c>
      <c r="S132" s="24">
        <v>2587.0700000000002</v>
      </c>
      <c r="T132" s="24">
        <f>S132/Q132*100</f>
        <v>109.79327847354551</v>
      </c>
      <c r="U132" s="23">
        <f t="shared" si="30"/>
        <v>4.7399999999999998E-2</v>
      </c>
      <c r="V132" s="23">
        <f t="shared" si="28"/>
        <v>4.7399999999999998E-2</v>
      </c>
      <c r="W132" s="25">
        <f>47.4/1000</f>
        <v>4.7399999999999998E-2</v>
      </c>
      <c r="X132" s="25">
        <f t="shared" si="31"/>
        <v>4.7399999999999998E-2</v>
      </c>
      <c r="Y132" s="23">
        <f>W132*Q132</f>
        <v>111.689094</v>
      </c>
      <c r="Z132" s="23">
        <f>X132*S132</f>
        <v>122.627118</v>
      </c>
      <c r="AA132" s="24"/>
      <c r="AB132" s="24"/>
      <c r="AC132" s="24"/>
      <c r="AD132" s="23">
        <f>Q132*1.09799999*X132</f>
        <v>122.63462409510905</v>
      </c>
      <c r="AE132" s="23">
        <f>AD132-Z132</f>
        <v>7.5060951090506478E-3</v>
      </c>
      <c r="AF132" s="15" t="s">
        <v>17</v>
      </c>
      <c r="AG132" s="15"/>
      <c r="AH132" s="26"/>
      <c r="AI132" s="26" t="s">
        <v>114</v>
      </c>
      <c r="AJ132" s="26"/>
      <c r="AK132" s="26"/>
      <c r="AL132" s="26">
        <f>Y132*1.18</f>
        <v>131.79313091999998</v>
      </c>
      <c r="AM132" s="26">
        <f>Z132*1.18</f>
        <v>144.69999923999998</v>
      </c>
      <c r="AN132" s="26">
        <f>U132*Q132</f>
        <v>111.689094</v>
      </c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  <c r="BY132" s="27"/>
      <c r="BZ132" s="27"/>
      <c r="CA132" s="27"/>
      <c r="CB132" s="27"/>
      <c r="CC132" s="27"/>
      <c r="CD132" s="27"/>
      <c r="CE132" s="27"/>
      <c r="CF132" s="27"/>
      <c r="CG132" s="27"/>
      <c r="CH132" s="27"/>
      <c r="CI132" s="27"/>
      <c r="CJ132" s="27"/>
      <c r="CK132" s="27"/>
      <c r="CL132" s="27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27"/>
      <c r="CY132" s="27"/>
      <c r="CZ132" s="27"/>
      <c r="DA132" s="27"/>
      <c r="DB132" s="27"/>
      <c r="DC132" s="27"/>
    </row>
    <row r="133" spans="1:107" s="28" customFormat="1" ht="13" x14ac:dyDescent="0.25">
      <c r="A133" s="76" t="s">
        <v>215</v>
      </c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15"/>
      <c r="AH133" s="26"/>
      <c r="AI133" s="26"/>
      <c r="AJ133" s="26"/>
      <c r="AK133" s="26"/>
      <c r="AL133" s="26"/>
      <c r="AM133" s="26"/>
      <c r="AN133" s="26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  <c r="BM133" s="27"/>
      <c r="BN133" s="27"/>
      <c r="BO133" s="27"/>
      <c r="BP133" s="27"/>
      <c r="BQ133" s="27"/>
      <c r="BR133" s="27"/>
      <c r="BS133" s="27"/>
      <c r="BT133" s="27"/>
      <c r="BU133" s="27"/>
      <c r="BV133" s="27"/>
      <c r="BW133" s="27"/>
      <c r="BX133" s="27"/>
      <c r="BY133" s="27"/>
      <c r="BZ133" s="27"/>
      <c r="CA133" s="27"/>
      <c r="CB133" s="27"/>
      <c r="CC133" s="27"/>
      <c r="CD133" s="27"/>
      <c r="CE133" s="27"/>
      <c r="CF133" s="27"/>
      <c r="CG133" s="27"/>
      <c r="CH133" s="27"/>
      <c r="CI133" s="27"/>
      <c r="CJ133" s="27"/>
      <c r="CK133" s="27"/>
      <c r="CL133" s="27"/>
      <c r="CM133" s="27"/>
      <c r="CN133" s="27"/>
      <c r="CO133" s="27"/>
      <c r="CP133" s="27"/>
      <c r="CQ133" s="27"/>
      <c r="CR133" s="27"/>
      <c r="CS133" s="27"/>
      <c r="CT133" s="27"/>
      <c r="CU133" s="27"/>
      <c r="CV133" s="27"/>
      <c r="CW133" s="27"/>
      <c r="CX133" s="27"/>
      <c r="CY133" s="27"/>
      <c r="CZ133" s="27"/>
      <c r="DA133" s="27"/>
      <c r="DB133" s="27"/>
      <c r="DC133" s="27"/>
    </row>
    <row r="134" spans="1:107" s="28" customFormat="1" x14ac:dyDescent="0.25">
      <c r="A134" s="15">
        <v>97</v>
      </c>
      <c r="B134" s="12" t="s">
        <v>233</v>
      </c>
      <c r="C134" s="22" t="s">
        <v>173</v>
      </c>
      <c r="D134" s="22"/>
      <c r="E134" s="22"/>
      <c r="F134" s="22"/>
      <c r="G134" s="22"/>
      <c r="H134" s="22"/>
      <c r="I134" s="33"/>
      <c r="J134" s="22"/>
      <c r="K134" s="22"/>
      <c r="L134" s="22"/>
      <c r="M134" s="33"/>
      <c r="N134" s="24"/>
      <c r="O134" s="33">
        <v>1459.64</v>
      </c>
      <c r="P134" s="23" t="e">
        <f>O134/M134*100</f>
        <v>#DIV/0!</v>
      </c>
      <c r="Q134" s="33">
        <v>1459.64</v>
      </c>
      <c r="R134" s="24">
        <f>Q134/O134*100</f>
        <v>100</v>
      </c>
      <c r="S134" s="24">
        <v>1601.9</v>
      </c>
      <c r="T134" s="24">
        <f>S134/Q134*100</f>
        <v>109.74623879860788</v>
      </c>
      <c r="U134" s="23">
        <v>7.99</v>
      </c>
      <c r="V134" s="23">
        <v>7.99</v>
      </c>
      <c r="W134" s="23">
        <v>7.66</v>
      </c>
      <c r="X134" s="23">
        <v>7.66</v>
      </c>
      <c r="Y134" s="23">
        <f>W134*Q134</f>
        <v>11180.842400000001</v>
      </c>
      <c r="Z134" s="23">
        <f>X134*S134</f>
        <v>12270.554</v>
      </c>
      <c r="AA134" s="24"/>
      <c r="AB134" s="24"/>
      <c r="AC134" s="24"/>
      <c r="AD134" s="23">
        <f>Q134*1.09799999*X134</f>
        <v>12276.564843391576</v>
      </c>
      <c r="AE134" s="23">
        <f>AD134-Z134</f>
        <v>6.0108433915756905</v>
      </c>
      <c r="AF134" s="15" t="s">
        <v>17</v>
      </c>
      <c r="AG134" s="15"/>
      <c r="AH134" s="26"/>
      <c r="AI134" s="26"/>
      <c r="AJ134" s="26"/>
      <c r="AK134" s="26"/>
      <c r="AL134" s="26"/>
      <c r="AM134" s="26"/>
      <c r="AN134" s="26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/>
      <c r="BF134" s="27"/>
      <c r="BG134" s="27"/>
      <c r="BH134" s="27"/>
      <c r="BI134" s="27"/>
      <c r="BJ134" s="27"/>
      <c r="BK134" s="27"/>
      <c r="BL134" s="27"/>
      <c r="BM134" s="27"/>
      <c r="BN134" s="27"/>
      <c r="BO134" s="27"/>
      <c r="BP134" s="27"/>
      <c r="BQ134" s="27"/>
      <c r="BR134" s="27"/>
      <c r="BS134" s="27"/>
      <c r="BT134" s="27"/>
      <c r="BU134" s="27"/>
      <c r="BV134" s="27"/>
      <c r="BW134" s="27"/>
      <c r="BX134" s="27"/>
      <c r="BY134" s="27"/>
      <c r="BZ134" s="27"/>
      <c r="CA134" s="27"/>
      <c r="CB134" s="27"/>
      <c r="CC134" s="27"/>
      <c r="CD134" s="27"/>
      <c r="CE134" s="27"/>
      <c r="CF134" s="27"/>
      <c r="CG134" s="27"/>
      <c r="CH134" s="27"/>
      <c r="CI134" s="27"/>
      <c r="CJ134" s="27"/>
      <c r="CK134" s="27"/>
      <c r="CL134" s="27"/>
      <c r="CM134" s="27"/>
      <c r="CN134" s="27"/>
      <c r="CO134" s="27"/>
      <c r="CP134" s="27"/>
      <c r="CQ134" s="27"/>
      <c r="CR134" s="27"/>
      <c r="CS134" s="27"/>
      <c r="CT134" s="27"/>
      <c r="CU134" s="27"/>
      <c r="CV134" s="27"/>
      <c r="CW134" s="27"/>
      <c r="CX134" s="27"/>
      <c r="CY134" s="27"/>
      <c r="CZ134" s="27"/>
      <c r="DA134" s="27"/>
      <c r="DB134" s="27"/>
      <c r="DC134" s="27"/>
    </row>
    <row r="135" spans="1:107" s="28" customFormat="1" ht="28.9" customHeight="1" x14ac:dyDescent="0.25">
      <c r="A135" s="15">
        <v>90</v>
      </c>
      <c r="B135" s="12" t="s">
        <v>233</v>
      </c>
      <c r="C135" s="22" t="s">
        <v>123</v>
      </c>
      <c r="D135" s="22"/>
      <c r="E135" s="22"/>
      <c r="F135" s="22"/>
      <c r="G135" s="22"/>
      <c r="H135" s="22"/>
      <c r="I135" s="33">
        <v>1136.3699999999999</v>
      </c>
      <c r="J135" s="22"/>
      <c r="K135" s="22"/>
      <c r="L135" s="22"/>
      <c r="M135" s="33">
        <v>1136.3699999999999</v>
      </c>
      <c r="N135" s="24">
        <f t="shared" si="29"/>
        <v>100</v>
      </c>
      <c r="O135" s="33">
        <v>1336.05</v>
      </c>
      <c r="P135" s="23">
        <f t="shared" si="26"/>
        <v>117.57174159824706</v>
      </c>
      <c r="Q135" s="24">
        <v>1336.05</v>
      </c>
      <c r="R135" s="24">
        <f t="shared" si="27"/>
        <v>100</v>
      </c>
      <c r="S135" s="24">
        <v>1466.93</v>
      </c>
      <c r="T135" s="24">
        <f>S135/Q135*100</f>
        <v>109.79604056734405</v>
      </c>
      <c r="U135" s="23">
        <f t="shared" si="30"/>
        <v>0.14899999999999999</v>
      </c>
      <c r="V135" s="23">
        <f t="shared" si="28"/>
        <v>0.14899999999999999</v>
      </c>
      <c r="W135" s="25">
        <f>149/1000</f>
        <v>0.14899999999999999</v>
      </c>
      <c r="X135" s="25">
        <f t="shared" si="31"/>
        <v>0.14899999999999999</v>
      </c>
      <c r="Y135" s="23">
        <f>W135*Q135</f>
        <v>199.07145</v>
      </c>
      <c r="Z135" s="23">
        <f>X135*S135</f>
        <v>218.57257000000001</v>
      </c>
      <c r="AA135" s="24"/>
      <c r="AB135" s="24"/>
      <c r="AC135" s="24"/>
      <c r="AD135" s="23">
        <f>Q135*1.097999*X135</f>
        <v>218.58025302854995</v>
      </c>
      <c r="AE135" s="23">
        <f>AD135-Z135</f>
        <v>7.6830285499340789E-3</v>
      </c>
      <c r="AF135" s="15" t="s">
        <v>17</v>
      </c>
      <c r="AG135" s="15"/>
      <c r="AH135" s="26"/>
      <c r="AI135" s="26" t="s">
        <v>114</v>
      </c>
      <c r="AJ135" s="26"/>
      <c r="AK135" s="26"/>
      <c r="AL135" s="26">
        <f>Y135*1.18</f>
        <v>234.90431099999998</v>
      </c>
      <c r="AM135" s="26">
        <f>Z135*1.18</f>
        <v>257.91563259999998</v>
      </c>
      <c r="AN135" s="26">
        <f>U135*Q135</f>
        <v>199.07145</v>
      </c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  <c r="BE135" s="27"/>
      <c r="BF135" s="27"/>
      <c r="BG135" s="27"/>
      <c r="BH135" s="27"/>
      <c r="BI135" s="27"/>
      <c r="BJ135" s="27"/>
      <c r="BK135" s="27"/>
      <c r="BL135" s="27"/>
      <c r="BM135" s="27"/>
      <c r="BN135" s="27"/>
      <c r="BO135" s="27"/>
      <c r="BP135" s="27"/>
      <c r="BQ135" s="27"/>
      <c r="BR135" s="27"/>
      <c r="BS135" s="27"/>
      <c r="BT135" s="27"/>
      <c r="BU135" s="27"/>
      <c r="BV135" s="27"/>
      <c r="BW135" s="27"/>
      <c r="BX135" s="27"/>
      <c r="BY135" s="27"/>
      <c r="BZ135" s="27"/>
      <c r="CA135" s="27"/>
      <c r="CB135" s="27"/>
      <c r="CC135" s="27"/>
      <c r="CD135" s="27"/>
      <c r="CE135" s="27"/>
      <c r="CF135" s="27"/>
      <c r="CG135" s="27"/>
      <c r="CH135" s="27"/>
      <c r="CI135" s="27"/>
      <c r="CJ135" s="27"/>
      <c r="CK135" s="27"/>
      <c r="CL135" s="27"/>
      <c r="CM135" s="27"/>
      <c r="CN135" s="27"/>
      <c r="CO135" s="27"/>
      <c r="CP135" s="27"/>
      <c r="CQ135" s="27"/>
      <c r="CR135" s="27"/>
      <c r="CS135" s="27"/>
      <c r="CT135" s="27"/>
      <c r="CU135" s="27"/>
      <c r="CV135" s="27"/>
      <c r="CW135" s="27"/>
      <c r="CX135" s="27"/>
      <c r="CY135" s="27"/>
      <c r="CZ135" s="27"/>
      <c r="DA135" s="27"/>
      <c r="DB135" s="27"/>
      <c r="DC135" s="27"/>
    </row>
    <row r="136" spans="1:107" s="28" customFormat="1" ht="13" x14ac:dyDescent="0.25">
      <c r="A136" s="76" t="s">
        <v>216</v>
      </c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15"/>
      <c r="AH136" s="26"/>
      <c r="AI136" s="26"/>
      <c r="AJ136" s="26"/>
      <c r="AK136" s="26"/>
      <c r="AL136" s="26"/>
      <c r="AM136" s="26"/>
      <c r="AN136" s="26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7"/>
      <c r="BT136" s="27"/>
      <c r="BU136" s="27"/>
      <c r="BV136" s="27"/>
      <c r="BW136" s="27"/>
      <c r="BX136" s="27"/>
      <c r="BY136" s="27"/>
      <c r="BZ136" s="27"/>
      <c r="CA136" s="27"/>
      <c r="CB136" s="27"/>
      <c r="CC136" s="27"/>
      <c r="CD136" s="27"/>
      <c r="CE136" s="27"/>
      <c r="CF136" s="27"/>
      <c r="CG136" s="27"/>
      <c r="CH136" s="27"/>
      <c r="CI136" s="27"/>
      <c r="CJ136" s="27"/>
      <c r="CK136" s="27"/>
      <c r="CL136" s="27"/>
      <c r="CM136" s="27"/>
      <c r="CN136" s="27"/>
      <c r="CO136" s="27"/>
      <c r="CP136" s="27"/>
      <c r="CQ136" s="27"/>
      <c r="CR136" s="27"/>
      <c r="CS136" s="27"/>
      <c r="CT136" s="27"/>
      <c r="CU136" s="27"/>
      <c r="CV136" s="27"/>
      <c r="CW136" s="27"/>
      <c r="CX136" s="27"/>
      <c r="CY136" s="27"/>
      <c r="CZ136" s="27"/>
      <c r="DA136" s="27"/>
      <c r="DB136" s="27"/>
      <c r="DC136" s="27"/>
    </row>
    <row r="137" spans="1:107" s="27" customFormat="1" ht="25" x14ac:dyDescent="0.25">
      <c r="A137" s="15">
        <v>95</v>
      </c>
      <c r="B137" s="12" t="s">
        <v>234</v>
      </c>
      <c r="C137" s="22" t="s">
        <v>175</v>
      </c>
      <c r="D137" s="22"/>
      <c r="E137" s="22"/>
      <c r="F137" s="22"/>
      <c r="G137" s="22"/>
      <c r="H137" s="22"/>
      <c r="I137" s="33"/>
      <c r="J137" s="22"/>
      <c r="K137" s="22"/>
      <c r="L137" s="22"/>
      <c r="M137" s="33"/>
      <c r="N137" s="24"/>
      <c r="O137" s="33"/>
      <c r="P137" s="23" t="e">
        <f t="shared" si="26"/>
        <v>#DIV/0!</v>
      </c>
      <c r="Q137" s="33">
        <v>1103.83</v>
      </c>
      <c r="R137" s="24"/>
      <c r="S137" s="24">
        <v>1211.94</v>
      </c>
      <c r="T137" s="24">
        <f>S137/Q137*100</f>
        <v>109.79408061023889</v>
      </c>
      <c r="U137" s="23">
        <v>0.37880000000000003</v>
      </c>
      <c r="V137" s="23">
        <v>0.37880000000000003</v>
      </c>
      <c r="W137" s="23">
        <v>0.37880000000000003</v>
      </c>
      <c r="X137" s="23">
        <v>0.37880000000000003</v>
      </c>
      <c r="Y137" s="23">
        <f>W137*Q137</f>
        <v>418.13080400000001</v>
      </c>
      <c r="Z137" s="23">
        <f>X137*S137</f>
        <v>459.08287200000007</v>
      </c>
      <c r="AA137" s="24"/>
      <c r="AB137" s="24"/>
      <c r="AC137" s="24"/>
      <c r="AD137" s="23">
        <f>Q137*1.09799999*X137</f>
        <v>459.10761861069193</v>
      </c>
      <c r="AE137" s="23">
        <f>AD137-Z137</f>
        <v>2.474661069186368E-2</v>
      </c>
      <c r="AF137" s="15" t="s">
        <v>18</v>
      </c>
      <c r="AG137" s="15"/>
      <c r="AH137" s="60"/>
      <c r="AI137" s="60"/>
      <c r="AJ137" s="60"/>
      <c r="AK137" s="60"/>
      <c r="AL137" s="60"/>
      <c r="AM137" s="60"/>
      <c r="AN137" s="60">
        <f>U137*Q137</f>
        <v>418.13080400000001</v>
      </c>
    </row>
    <row r="138" spans="1:107" s="40" customFormat="1" ht="13" x14ac:dyDescent="0.25">
      <c r="A138" s="76" t="s">
        <v>217</v>
      </c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15"/>
      <c r="AH138" s="39"/>
      <c r="AI138" s="39"/>
      <c r="AJ138" s="39"/>
      <c r="AK138" s="39"/>
      <c r="AL138" s="39">
        <f>Y40*1.18</f>
        <v>3179.9761188799998</v>
      </c>
      <c r="AM138" s="39">
        <f>Z40*1.18</f>
        <v>3445.01100064</v>
      </c>
      <c r="AN138" s="39">
        <f>U40*Q40</f>
        <v>2694.8950159999999</v>
      </c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27"/>
      <c r="CY138" s="27"/>
      <c r="CZ138" s="27"/>
      <c r="DA138" s="27"/>
    </row>
    <row r="139" spans="1:107" s="28" customFormat="1" ht="16.149999999999999" customHeight="1" x14ac:dyDescent="0.25">
      <c r="A139" s="15">
        <v>100</v>
      </c>
      <c r="B139" s="12" t="s">
        <v>239</v>
      </c>
      <c r="C139" s="22" t="s">
        <v>169</v>
      </c>
      <c r="D139" s="22"/>
      <c r="E139" s="22"/>
      <c r="F139" s="22"/>
      <c r="G139" s="22"/>
      <c r="H139" s="22"/>
      <c r="I139" s="33"/>
      <c r="J139" s="22"/>
      <c r="K139" s="22"/>
      <c r="L139" s="22"/>
      <c r="M139" s="33"/>
      <c r="N139" s="24"/>
      <c r="O139" s="33">
        <v>1122.19</v>
      </c>
      <c r="P139" s="23" t="e">
        <f t="shared" si="26"/>
        <v>#DIV/0!</v>
      </c>
      <c r="Q139" s="33">
        <f t="shared" ref="Q139:Q146" si="32">O139</f>
        <v>1122.19</v>
      </c>
      <c r="R139" s="24">
        <f t="shared" ref="R139:R146" si="33">Q139/O139*100</f>
        <v>100</v>
      </c>
      <c r="S139" s="24">
        <v>1232.1600000000001</v>
      </c>
      <c r="T139" s="24">
        <f>S139/Q139*100</f>
        <v>109.79958830501073</v>
      </c>
      <c r="U139" s="23">
        <f>13.99169+128.52</f>
        <v>142.51169000000002</v>
      </c>
      <c r="V139" s="23">
        <f>U139</f>
        <v>142.51169000000002</v>
      </c>
      <c r="W139" s="23">
        <v>13.99169</v>
      </c>
      <c r="X139" s="23">
        <f>W139</f>
        <v>13.99169</v>
      </c>
      <c r="Y139" s="23">
        <f>W139*Q139</f>
        <v>15701.334601100001</v>
      </c>
      <c r="Z139" s="23">
        <f>X139*S139</f>
        <v>17240.000750400002</v>
      </c>
      <c r="AA139" s="24"/>
      <c r="AB139" s="24"/>
      <c r="AC139" s="24"/>
      <c r="AD139" s="23">
        <f t="shared" ref="AD139:AD146" si="34">Q139*1.09799999*X139</f>
        <v>17240.065234994454</v>
      </c>
      <c r="AE139" s="23">
        <f>AD139-Z139</f>
        <v>6.4484594451641897E-2</v>
      </c>
      <c r="AF139" s="15" t="s">
        <v>18</v>
      </c>
      <c r="AG139" s="15"/>
      <c r="AH139" s="26"/>
      <c r="AI139" s="26"/>
      <c r="AJ139" s="26"/>
      <c r="AK139" s="26"/>
      <c r="AL139" s="26"/>
      <c r="AM139" s="26"/>
      <c r="AN139" s="26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  <c r="BY139" s="27"/>
      <c r="BZ139" s="27"/>
      <c r="CA139" s="27"/>
      <c r="CB139" s="27"/>
      <c r="CC139" s="27"/>
      <c r="CD139" s="27"/>
      <c r="CE139" s="27"/>
      <c r="CF139" s="27"/>
      <c r="CG139" s="27"/>
      <c r="CH139" s="27"/>
      <c r="CI139" s="27"/>
      <c r="CJ139" s="27"/>
      <c r="CK139" s="27"/>
      <c r="CL139" s="27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27"/>
      <c r="CY139" s="27"/>
      <c r="CZ139" s="27"/>
      <c r="DA139" s="27"/>
      <c r="DB139" s="27"/>
      <c r="DC139" s="27"/>
    </row>
    <row r="140" spans="1:107" s="28" customFormat="1" ht="19.5" customHeight="1" x14ac:dyDescent="0.25">
      <c r="A140" s="15">
        <v>40</v>
      </c>
      <c r="B140" s="12" t="s">
        <v>165</v>
      </c>
      <c r="C140" s="12" t="s">
        <v>164</v>
      </c>
      <c r="D140" s="15"/>
      <c r="E140" s="15"/>
      <c r="F140" s="23"/>
      <c r="G140" s="23"/>
      <c r="H140" s="23"/>
      <c r="I140" s="23"/>
      <c r="J140" s="23"/>
      <c r="K140" s="23"/>
      <c r="L140" s="23"/>
      <c r="M140" s="24"/>
      <c r="N140" s="24"/>
      <c r="O140" s="24">
        <v>1257.6099999999999</v>
      </c>
      <c r="P140" s="23" t="e">
        <f>O140/M140*100</f>
        <v>#DIV/0!</v>
      </c>
      <c r="Q140" s="24">
        <f>O140</f>
        <v>1257.6099999999999</v>
      </c>
      <c r="R140" s="24">
        <f>Q140/O140*100</f>
        <v>100</v>
      </c>
      <c r="S140" s="24">
        <v>1380.85</v>
      </c>
      <c r="T140" s="24">
        <f>S140/Q140*100</f>
        <v>109.79954039805664</v>
      </c>
      <c r="U140" s="23">
        <v>1.243741</v>
      </c>
      <c r="V140" s="23">
        <f>U140</f>
        <v>1.243741</v>
      </c>
      <c r="W140" s="25">
        <v>0.89981999999999995</v>
      </c>
      <c r="X140" s="25">
        <f>W140</f>
        <v>0.89981999999999995</v>
      </c>
      <c r="Y140" s="23">
        <f>W140*Q140</f>
        <v>1131.6226301999998</v>
      </c>
      <c r="Z140" s="23">
        <f>X140*S140</f>
        <v>1242.5164469999997</v>
      </c>
      <c r="AA140" s="24"/>
      <c r="AB140" s="24"/>
      <c r="AC140" s="24"/>
      <c r="AD140" s="23">
        <f>Q140*1.09799999999*X140</f>
        <v>1242.5216479482835</v>
      </c>
      <c r="AE140" s="23">
        <f>AD140-Z140</f>
        <v>5.2009482838002441E-3</v>
      </c>
      <c r="AF140" s="15" t="s">
        <v>17</v>
      </c>
      <c r="AG140" s="15"/>
      <c r="AH140" s="29"/>
      <c r="AI140" s="29"/>
      <c r="AJ140" s="55"/>
      <c r="AK140" s="29"/>
      <c r="AL140" s="29">
        <f>Y140*1.18</f>
        <v>1335.3147036359996</v>
      </c>
      <c r="AM140" s="29">
        <f>Z140*1.18</f>
        <v>1466.1694074599995</v>
      </c>
      <c r="AN140" s="29">
        <f>U140*Q140</f>
        <v>1564.1411190099998</v>
      </c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  <c r="BY140" s="27"/>
      <c r="BZ140" s="27"/>
      <c r="CA140" s="27"/>
      <c r="CB140" s="27"/>
      <c r="CC140" s="27"/>
      <c r="CD140" s="27"/>
      <c r="CE140" s="27"/>
      <c r="CF140" s="27"/>
      <c r="CG140" s="27"/>
      <c r="CH140" s="27"/>
      <c r="CI140" s="27"/>
      <c r="CJ140" s="27"/>
      <c r="CK140" s="27"/>
      <c r="CL140" s="27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27"/>
      <c r="CY140" s="27"/>
      <c r="CZ140" s="27"/>
      <c r="DA140" s="27"/>
      <c r="DB140" s="27"/>
      <c r="DC140" s="27"/>
    </row>
    <row r="141" spans="1:107" s="28" customFormat="1" ht="16.149999999999999" customHeight="1" x14ac:dyDescent="0.25">
      <c r="A141" s="76" t="s">
        <v>213</v>
      </c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15"/>
      <c r="AH141" s="26"/>
      <c r="AI141" s="26"/>
      <c r="AJ141" s="26"/>
      <c r="AK141" s="26"/>
      <c r="AL141" s="26"/>
      <c r="AM141" s="26"/>
      <c r="AN141" s="26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  <c r="BH141" s="27"/>
      <c r="BI141" s="27"/>
      <c r="BJ141" s="27"/>
      <c r="BK141" s="27"/>
      <c r="BL141" s="27"/>
      <c r="BM141" s="27"/>
      <c r="BN141" s="27"/>
      <c r="BO141" s="27"/>
      <c r="BP141" s="27"/>
      <c r="BQ141" s="27"/>
      <c r="BR141" s="27"/>
      <c r="BS141" s="27"/>
      <c r="BT141" s="27"/>
      <c r="BU141" s="27"/>
      <c r="BV141" s="27"/>
      <c r="BW141" s="27"/>
      <c r="BX141" s="27"/>
      <c r="BY141" s="27"/>
      <c r="BZ141" s="27"/>
      <c r="CA141" s="27"/>
      <c r="CB141" s="27"/>
      <c r="CC141" s="27"/>
      <c r="CD141" s="27"/>
      <c r="CE141" s="27"/>
      <c r="CF141" s="27"/>
      <c r="CG141" s="27"/>
      <c r="CH141" s="27"/>
      <c r="CI141" s="27"/>
      <c r="CJ141" s="27"/>
      <c r="CK141" s="27"/>
      <c r="CL141" s="27"/>
      <c r="CM141" s="27"/>
      <c r="CN141" s="27"/>
      <c r="CO141" s="27"/>
      <c r="CP141" s="27"/>
      <c r="CQ141" s="27"/>
      <c r="CR141" s="27"/>
      <c r="CS141" s="27"/>
      <c r="CT141" s="27"/>
      <c r="CU141" s="27"/>
      <c r="CV141" s="27"/>
      <c r="CW141" s="27"/>
      <c r="CX141" s="27"/>
      <c r="CY141" s="27"/>
      <c r="CZ141" s="27"/>
      <c r="DA141" s="27"/>
      <c r="DB141" s="27"/>
      <c r="DC141" s="27"/>
    </row>
    <row r="142" spans="1:107" s="28" customFormat="1" ht="18.75" customHeight="1" x14ac:dyDescent="0.25">
      <c r="A142" s="15">
        <v>103</v>
      </c>
      <c r="B142" s="12" t="s">
        <v>231</v>
      </c>
      <c r="C142" s="22" t="s">
        <v>172</v>
      </c>
      <c r="D142" s="22"/>
      <c r="E142" s="22"/>
      <c r="F142" s="22"/>
      <c r="G142" s="22"/>
      <c r="H142" s="22"/>
      <c r="I142" s="33"/>
      <c r="J142" s="22"/>
      <c r="K142" s="22"/>
      <c r="L142" s="22"/>
      <c r="M142" s="33"/>
      <c r="N142" s="24"/>
      <c r="O142" s="24">
        <v>1386.96</v>
      </c>
      <c r="P142" s="23" t="e">
        <f t="shared" si="26"/>
        <v>#DIV/0!</v>
      </c>
      <c r="Q142" s="24">
        <f t="shared" si="32"/>
        <v>1386.96</v>
      </c>
      <c r="R142" s="24">
        <f t="shared" si="33"/>
        <v>100</v>
      </c>
      <c r="S142" s="24">
        <v>1522.88</v>
      </c>
      <c r="T142" s="24">
        <f>S142/Q142*100</f>
        <v>109.79985003172405</v>
      </c>
      <c r="U142" s="23">
        <v>10.087</v>
      </c>
      <c r="V142" s="23">
        <f>U142</f>
        <v>10.087</v>
      </c>
      <c r="W142" s="23">
        <v>10.087</v>
      </c>
      <c r="X142" s="23">
        <f>W142</f>
        <v>10.087</v>
      </c>
      <c r="Y142" s="23">
        <f>W142*Q142</f>
        <v>13990.265520000001</v>
      </c>
      <c r="Z142" s="23">
        <f>X142*S142</f>
        <v>15361.290560000001</v>
      </c>
      <c r="AA142" s="24"/>
      <c r="AB142" s="24"/>
      <c r="AC142" s="24"/>
      <c r="AD142" s="23">
        <f t="shared" si="34"/>
        <v>15361.311401057343</v>
      </c>
      <c r="AE142" s="23">
        <f>AD142-Z142</f>
        <v>2.0841057341385749E-2</v>
      </c>
      <c r="AF142" s="15" t="s">
        <v>17</v>
      </c>
      <c r="AG142" s="15"/>
      <c r="AH142" s="26"/>
      <c r="AI142" s="26"/>
      <c r="AJ142" s="26"/>
      <c r="AK142" s="26"/>
      <c r="AL142" s="26"/>
      <c r="AM142" s="26"/>
      <c r="AN142" s="26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  <c r="BE142" s="27"/>
      <c r="BF142" s="27"/>
      <c r="BG142" s="27"/>
      <c r="BH142" s="27"/>
      <c r="BI142" s="27"/>
      <c r="BJ142" s="27"/>
      <c r="BK142" s="27"/>
      <c r="BL142" s="27"/>
      <c r="BM142" s="27"/>
      <c r="BN142" s="27"/>
      <c r="BO142" s="27"/>
      <c r="BP142" s="27"/>
      <c r="BQ142" s="27"/>
      <c r="BR142" s="27"/>
      <c r="BS142" s="27"/>
      <c r="BT142" s="27"/>
      <c r="BU142" s="27"/>
      <c r="BV142" s="27"/>
      <c r="BW142" s="27"/>
      <c r="BX142" s="27"/>
      <c r="BY142" s="27"/>
      <c r="BZ142" s="27"/>
      <c r="CA142" s="27"/>
      <c r="CB142" s="27"/>
      <c r="CC142" s="27"/>
      <c r="CD142" s="27"/>
      <c r="CE142" s="27"/>
      <c r="CF142" s="27"/>
      <c r="CG142" s="27"/>
      <c r="CH142" s="27"/>
      <c r="CI142" s="27"/>
      <c r="CJ142" s="27"/>
      <c r="CK142" s="27"/>
      <c r="CL142" s="27"/>
      <c r="CM142" s="27"/>
      <c r="CN142" s="27"/>
      <c r="CO142" s="27"/>
      <c r="CP142" s="27"/>
      <c r="CQ142" s="27"/>
      <c r="CR142" s="27"/>
      <c r="CS142" s="27"/>
      <c r="CT142" s="27"/>
      <c r="CU142" s="27"/>
      <c r="CV142" s="27"/>
      <c r="CW142" s="27"/>
      <c r="CX142" s="27"/>
      <c r="CY142" s="27"/>
      <c r="CZ142" s="27"/>
      <c r="DA142" s="27"/>
      <c r="DB142" s="27"/>
      <c r="DC142" s="27"/>
    </row>
    <row r="143" spans="1:107" s="63" customFormat="1" hidden="1" x14ac:dyDescent="0.25">
      <c r="A143" s="15">
        <v>104</v>
      </c>
      <c r="B143" s="12"/>
      <c r="C143" s="22" t="s">
        <v>172</v>
      </c>
      <c r="D143" s="22"/>
      <c r="E143" s="22"/>
      <c r="F143" s="22"/>
      <c r="G143" s="22"/>
      <c r="H143" s="22"/>
      <c r="I143" s="33"/>
      <c r="J143" s="22"/>
      <c r="K143" s="22"/>
      <c r="L143" s="22"/>
      <c r="M143" s="33"/>
      <c r="N143" s="24"/>
      <c r="O143" s="24">
        <v>1387.96</v>
      </c>
      <c r="P143" s="23" t="e">
        <f>O143/M143*100</f>
        <v>#DIV/0!</v>
      </c>
      <c r="Q143" s="24">
        <f t="shared" si="32"/>
        <v>1387.96</v>
      </c>
      <c r="R143" s="24">
        <f t="shared" si="33"/>
        <v>100</v>
      </c>
      <c r="S143" s="24">
        <v>1523.88</v>
      </c>
      <c r="T143" s="24">
        <f>S143/Q143*100</f>
        <v>109.79278941756247</v>
      </c>
      <c r="U143" s="23">
        <v>11.087</v>
      </c>
      <c r="V143" s="23">
        <f>U143</f>
        <v>11.087</v>
      </c>
      <c r="W143" s="23">
        <v>11.087</v>
      </c>
      <c r="X143" s="23">
        <f>W143</f>
        <v>11.087</v>
      </c>
      <c r="Y143" s="23">
        <f>W143*Q143</f>
        <v>15388.312519999999</v>
      </c>
      <c r="Z143" s="23">
        <f>X143*S143</f>
        <v>16895.257560000002</v>
      </c>
      <c r="AA143" s="24"/>
      <c r="AB143" s="24"/>
      <c r="AC143" s="24"/>
      <c r="AD143" s="23">
        <f t="shared" si="34"/>
        <v>16896.366993076874</v>
      </c>
      <c r="AE143" s="23">
        <f>AD143-Z143</f>
        <v>1.1094330768719374</v>
      </c>
      <c r="AF143" s="15" t="s">
        <v>17</v>
      </c>
      <c r="AG143" s="12"/>
      <c r="AH143" s="61"/>
      <c r="AI143" s="61"/>
      <c r="AJ143" s="61"/>
      <c r="AK143" s="61"/>
      <c r="AL143" s="26">
        <f>Y143*1.18</f>
        <v>18158.208773599999</v>
      </c>
      <c r="AM143" s="26">
        <f>Z143*1.18</f>
        <v>19936.403920799999</v>
      </c>
      <c r="AN143" s="62">
        <f>SUM(AN9:AN138)</f>
        <v>6114315.4849445159</v>
      </c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  <c r="BY143" s="27"/>
      <c r="BZ143" s="27"/>
      <c r="CA143" s="27"/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27"/>
      <c r="CY143" s="27"/>
      <c r="CZ143" s="27"/>
      <c r="DA143" s="27"/>
      <c r="DB143" s="27"/>
      <c r="DC143" s="27"/>
    </row>
    <row r="144" spans="1:107" s="63" customFormat="1" hidden="1" x14ac:dyDescent="0.25">
      <c r="A144" s="15">
        <v>105</v>
      </c>
      <c r="B144" s="12"/>
      <c r="C144" s="22" t="s">
        <v>172</v>
      </c>
      <c r="D144" s="22"/>
      <c r="E144" s="22"/>
      <c r="F144" s="22"/>
      <c r="G144" s="22"/>
      <c r="H144" s="22"/>
      <c r="I144" s="33"/>
      <c r="J144" s="22"/>
      <c r="K144" s="22"/>
      <c r="L144" s="22"/>
      <c r="M144" s="33"/>
      <c r="N144" s="24"/>
      <c r="O144" s="24">
        <v>1388.96</v>
      </c>
      <c r="P144" s="23" t="e">
        <f>O144/M144*100</f>
        <v>#DIV/0!</v>
      </c>
      <c r="Q144" s="24">
        <f t="shared" si="32"/>
        <v>1388.96</v>
      </c>
      <c r="R144" s="24">
        <f t="shared" si="33"/>
        <v>100</v>
      </c>
      <c r="S144" s="24">
        <v>1524.88</v>
      </c>
      <c r="T144" s="24">
        <f>S144/Q144*100</f>
        <v>109.78573897016473</v>
      </c>
      <c r="U144" s="23">
        <v>12.087</v>
      </c>
      <c r="V144" s="23">
        <f>U144</f>
        <v>12.087</v>
      </c>
      <c r="W144" s="23">
        <v>12.087</v>
      </c>
      <c r="X144" s="23">
        <f>W144</f>
        <v>12.087</v>
      </c>
      <c r="Y144" s="23">
        <f>W144*Q144</f>
        <v>16788.359520000002</v>
      </c>
      <c r="Z144" s="23">
        <f>X144*S144</f>
        <v>18431.224560000002</v>
      </c>
      <c r="AA144" s="24"/>
      <c r="AB144" s="24"/>
      <c r="AC144" s="24"/>
      <c r="AD144" s="23">
        <f t="shared" si="34"/>
        <v>18433.618585076405</v>
      </c>
      <c r="AE144" s="23">
        <f>AD144-Z144</f>
        <v>2.3940250764026132</v>
      </c>
      <c r="AF144" s="15" t="s">
        <v>17</v>
      </c>
      <c r="AG144" s="12"/>
      <c r="AH144" s="61"/>
      <c r="AI144" s="61"/>
      <c r="AJ144" s="61"/>
      <c r="AK144" s="61"/>
      <c r="AL144" s="61">
        <f>AL143/W143</f>
        <v>1637.7927999999999</v>
      </c>
      <c r="AM144" s="61">
        <f>AM143/X143</f>
        <v>1798.1784</v>
      </c>
      <c r="AN144" s="61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</row>
    <row r="145" spans="1:107" s="63" customFormat="1" hidden="1" x14ac:dyDescent="0.25">
      <c r="A145" s="15">
        <v>106</v>
      </c>
      <c r="B145" s="12"/>
      <c r="C145" s="22" t="s">
        <v>172</v>
      </c>
      <c r="D145" s="22"/>
      <c r="E145" s="22"/>
      <c r="F145" s="22"/>
      <c r="G145" s="22"/>
      <c r="H145" s="22"/>
      <c r="I145" s="33"/>
      <c r="J145" s="22"/>
      <c r="K145" s="22"/>
      <c r="L145" s="22"/>
      <c r="M145" s="33"/>
      <c r="N145" s="24"/>
      <c r="O145" s="24">
        <v>1389.96</v>
      </c>
      <c r="P145" s="23" t="e">
        <f>O145/M145*100</f>
        <v>#DIV/0!</v>
      </c>
      <c r="Q145" s="24">
        <f t="shared" si="32"/>
        <v>1389.96</v>
      </c>
      <c r="R145" s="24">
        <f t="shared" si="33"/>
        <v>100</v>
      </c>
      <c r="S145" s="24">
        <v>1525.88</v>
      </c>
      <c r="T145" s="24">
        <f>S145/Q145*100</f>
        <v>109.77869866758756</v>
      </c>
      <c r="U145" s="23">
        <v>13.087</v>
      </c>
      <c r="V145" s="23">
        <f>U145</f>
        <v>13.087</v>
      </c>
      <c r="W145" s="23">
        <v>13.087</v>
      </c>
      <c r="X145" s="23">
        <f>W145</f>
        <v>13.087</v>
      </c>
      <c r="Y145" s="23">
        <f>W145*Q145</f>
        <v>18190.40652</v>
      </c>
      <c r="Z145" s="23">
        <f>X145*S145</f>
        <v>19969.191559999999</v>
      </c>
      <c r="AA145" s="24"/>
      <c r="AB145" s="24"/>
      <c r="AC145" s="24"/>
      <c r="AD145" s="23">
        <f t="shared" si="34"/>
        <v>19973.066177055935</v>
      </c>
      <c r="AE145" s="23">
        <f>AD145-Z145</f>
        <v>3.8746170559352322</v>
      </c>
      <c r="AF145" s="15" t="s">
        <v>17</v>
      </c>
      <c r="AG145" s="12"/>
      <c r="AH145" s="61"/>
      <c r="AI145" s="61"/>
      <c r="AJ145" s="61"/>
      <c r="AK145" s="61"/>
      <c r="AL145" s="61"/>
      <c r="AM145" s="61"/>
      <c r="AN145" s="61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  <c r="BY145" s="27"/>
      <c r="BZ145" s="27"/>
      <c r="CA145" s="27"/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27"/>
      <c r="CY145" s="27"/>
      <c r="CZ145" s="27"/>
      <c r="DA145" s="27"/>
      <c r="DB145" s="27"/>
      <c r="DC145" s="27"/>
    </row>
    <row r="146" spans="1:107" s="63" customFormat="1" hidden="1" x14ac:dyDescent="0.25">
      <c r="A146" s="15">
        <v>107</v>
      </c>
      <c r="B146" s="12"/>
      <c r="C146" s="22" t="s">
        <v>172</v>
      </c>
      <c r="D146" s="22"/>
      <c r="E146" s="22"/>
      <c r="F146" s="22"/>
      <c r="G146" s="22"/>
      <c r="H146" s="22"/>
      <c r="I146" s="33"/>
      <c r="J146" s="22"/>
      <c r="K146" s="22"/>
      <c r="L146" s="22"/>
      <c r="M146" s="33"/>
      <c r="N146" s="24"/>
      <c r="O146" s="24">
        <v>1390.96</v>
      </c>
      <c r="P146" s="23" t="e">
        <f>O146/M146*100</f>
        <v>#DIV/0!</v>
      </c>
      <c r="Q146" s="24">
        <f t="shared" si="32"/>
        <v>1390.96</v>
      </c>
      <c r="R146" s="24">
        <f t="shared" si="33"/>
        <v>100</v>
      </c>
      <c r="S146" s="24">
        <v>1526.88</v>
      </c>
      <c r="T146" s="24">
        <f>S146/Q146*100</f>
        <v>109.77166848795076</v>
      </c>
      <c r="U146" s="23">
        <v>14.087</v>
      </c>
      <c r="V146" s="23">
        <f>U146</f>
        <v>14.087</v>
      </c>
      <c r="W146" s="23">
        <v>14.087</v>
      </c>
      <c r="X146" s="23">
        <f>W146</f>
        <v>14.087</v>
      </c>
      <c r="Y146" s="23">
        <f>W146*Q146</f>
        <v>19594.453519999999</v>
      </c>
      <c r="Z146" s="23">
        <f>X146*S146</f>
        <v>21509.15856</v>
      </c>
      <c r="AA146" s="24"/>
      <c r="AB146" s="24"/>
      <c r="AC146" s="24"/>
      <c r="AD146" s="23">
        <f t="shared" si="34"/>
        <v>21514.709769015462</v>
      </c>
      <c r="AE146" s="23">
        <f>AD146-Z146</f>
        <v>5.5512090154625184</v>
      </c>
      <c r="AF146" s="15" t="s">
        <v>17</v>
      </c>
      <c r="AG146" s="12"/>
      <c r="AH146" s="61"/>
      <c r="AI146" s="61"/>
      <c r="AJ146" s="61"/>
      <c r="AK146" s="61"/>
      <c r="AL146" s="61"/>
      <c r="AM146" s="61"/>
      <c r="AN146" s="61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  <c r="BE146" s="27"/>
      <c r="BF146" s="27"/>
      <c r="BG146" s="27"/>
      <c r="BH146" s="27"/>
      <c r="BI146" s="27"/>
      <c r="BJ146" s="27"/>
      <c r="BK146" s="27"/>
      <c r="BL146" s="27"/>
      <c r="BM146" s="27"/>
      <c r="BN146" s="27"/>
      <c r="BO146" s="27"/>
      <c r="BP146" s="27"/>
      <c r="BQ146" s="27"/>
      <c r="BR146" s="27"/>
      <c r="BS146" s="27"/>
      <c r="BT146" s="27"/>
      <c r="BU146" s="27"/>
      <c r="BV146" s="27"/>
      <c r="BW146" s="27"/>
      <c r="BX146" s="27"/>
      <c r="BY146" s="27"/>
      <c r="BZ146" s="27"/>
      <c r="CA146" s="27"/>
      <c r="CB146" s="27"/>
      <c r="CC146" s="27"/>
      <c r="CD146" s="27"/>
      <c r="CE146" s="27"/>
      <c r="CF146" s="27"/>
      <c r="CG146" s="27"/>
      <c r="CH146" s="27"/>
      <c r="CI146" s="27"/>
      <c r="CJ146" s="27"/>
      <c r="CK146" s="27"/>
      <c r="CL146" s="27"/>
      <c r="CM146" s="27"/>
      <c r="CN146" s="27"/>
      <c r="CO146" s="27"/>
      <c r="CP146" s="27"/>
      <c r="CQ146" s="27"/>
      <c r="CR146" s="27"/>
      <c r="CS146" s="27"/>
      <c r="CT146" s="27"/>
      <c r="CU146" s="27"/>
      <c r="CV146" s="27"/>
      <c r="CW146" s="27"/>
      <c r="CX146" s="27"/>
      <c r="CY146" s="27"/>
      <c r="CZ146" s="27"/>
      <c r="DA146" s="27"/>
      <c r="DB146" s="27"/>
      <c r="DC146" s="27"/>
    </row>
    <row r="147" spans="1:107" s="63" customFormat="1" ht="13" x14ac:dyDescent="0.25">
      <c r="A147" s="76" t="s">
        <v>219</v>
      </c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12"/>
      <c r="AH147" s="61"/>
      <c r="AI147" s="61"/>
      <c r="AJ147" s="61"/>
      <c r="AK147" s="61"/>
      <c r="AL147" s="61"/>
      <c r="AM147" s="61"/>
      <c r="AN147" s="61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  <c r="BE147" s="27"/>
      <c r="BF147" s="27"/>
      <c r="BG147" s="27"/>
      <c r="BH147" s="27"/>
      <c r="BI147" s="27"/>
      <c r="BJ147" s="27"/>
      <c r="BK147" s="27"/>
      <c r="BL147" s="27"/>
      <c r="BM147" s="27"/>
      <c r="BN147" s="27"/>
      <c r="BO147" s="27"/>
      <c r="BP147" s="27"/>
      <c r="BQ147" s="27"/>
      <c r="BR147" s="27"/>
      <c r="BS147" s="27"/>
      <c r="BT147" s="27"/>
      <c r="BU147" s="27"/>
      <c r="BV147" s="27"/>
      <c r="BW147" s="27"/>
      <c r="BX147" s="27"/>
      <c r="BY147" s="27"/>
      <c r="BZ147" s="27"/>
      <c r="CA147" s="27"/>
      <c r="CB147" s="27"/>
      <c r="CC147" s="27"/>
      <c r="CD147" s="27"/>
      <c r="CE147" s="27"/>
      <c r="CF147" s="27"/>
      <c r="CG147" s="27"/>
      <c r="CH147" s="27"/>
      <c r="CI147" s="27"/>
      <c r="CJ147" s="27"/>
      <c r="CK147" s="27"/>
      <c r="CL147" s="27"/>
      <c r="CM147" s="27"/>
      <c r="CN147" s="27"/>
      <c r="CO147" s="27"/>
      <c r="CP147" s="27"/>
      <c r="CQ147" s="27"/>
      <c r="CR147" s="27"/>
      <c r="CS147" s="27"/>
      <c r="CT147" s="27"/>
      <c r="CU147" s="27"/>
      <c r="CV147" s="27"/>
      <c r="CW147" s="27"/>
      <c r="CX147" s="27"/>
      <c r="CY147" s="27"/>
      <c r="CZ147" s="27"/>
      <c r="DA147" s="27"/>
      <c r="DB147" s="27"/>
      <c r="DC147" s="27"/>
    </row>
    <row r="148" spans="1:107" s="63" customFormat="1" ht="13" x14ac:dyDescent="0.25">
      <c r="A148" s="15">
        <v>19</v>
      </c>
      <c r="B148" s="12" t="s">
        <v>137</v>
      </c>
      <c r="C148" s="64" t="s">
        <v>97</v>
      </c>
      <c r="D148" s="15"/>
      <c r="E148" s="23">
        <v>646.79999999999995</v>
      </c>
      <c r="F148" s="23"/>
      <c r="G148" s="23"/>
      <c r="H148" s="23"/>
      <c r="I148" s="23">
        <v>723.24</v>
      </c>
      <c r="J148" s="23"/>
      <c r="K148" s="23"/>
      <c r="L148" s="23">
        <f>I148/E148*100</f>
        <v>111.81818181818181</v>
      </c>
      <c r="M148" s="24">
        <v>831.73</v>
      </c>
      <c r="N148" s="23">
        <f>M148/I148*100</f>
        <v>115.00055306675516</v>
      </c>
      <c r="O148" s="24">
        <v>867.63</v>
      </c>
      <c r="P148" s="23">
        <f>O148/M148*100</f>
        <v>104.31630456999265</v>
      </c>
      <c r="Q148" s="24">
        <v>867.63</v>
      </c>
      <c r="R148" s="24">
        <f>Q148/O148*100</f>
        <v>100</v>
      </c>
      <c r="S148" s="24">
        <v>941.9</v>
      </c>
      <c r="T148" s="24">
        <f>S148/Q148*100</f>
        <v>108.56010050367091</v>
      </c>
      <c r="U148" s="23">
        <v>19.774000000000001</v>
      </c>
      <c r="V148" s="23">
        <f>U148</f>
        <v>19.774000000000001</v>
      </c>
      <c r="W148" s="25">
        <f>U148-19.462</f>
        <v>0.31200000000000117</v>
      </c>
      <c r="X148" s="25">
        <f>W148</f>
        <v>0.31200000000000117</v>
      </c>
      <c r="Y148" s="23">
        <f>W148*Q148</f>
        <v>270.70056000000102</v>
      </c>
      <c r="Z148" s="23">
        <f>X148*S148</f>
        <v>293.87280000000106</v>
      </c>
      <c r="AA148" s="24"/>
      <c r="AB148" s="24"/>
      <c r="AC148" s="24"/>
      <c r="AD148" s="23">
        <f>Q148*1.0979999*X148</f>
        <v>297.22918780994513</v>
      </c>
      <c r="AE148" s="23">
        <f>AD148-Z148</f>
        <v>3.3563878099440672</v>
      </c>
      <c r="AF148" s="15" t="s">
        <v>38</v>
      </c>
      <c r="AG148" s="12"/>
      <c r="AH148" s="61"/>
      <c r="AI148" s="61"/>
      <c r="AJ148" s="61"/>
      <c r="AK148" s="61"/>
      <c r="AL148" s="61"/>
      <c r="AM148" s="61"/>
      <c r="AN148" s="61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  <c r="BE148" s="27"/>
      <c r="BF148" s="27"/>
      <c r="BG148" s="27"/>
      <c r="BH148" s="27"/>
      <c r="BI148" s="27"/>
      <c r="BJ148" s="27"/>
      <c r="BK148" s="27"/>
      <c r="BL148" s="27"/>
      <c r="BM148" s="27"/>
      <c r="BN148" s="27"/>
      <c r="BO148" s="27"/>
      <c r="BP148" s="27"/>
      <c r="BQ148" s="27"/>
      <c r="BR148" s="27"/>
      <c r="BS148" s="27"/>
      <c r="BT148" s="27"/>
      <c r="BU148" s="27"/>
      <c r="BV148" s="27"/>
      <c r="BW148" s="27"/>
      <c r="BX148" s="27"/>
      <c r="BY148" s="27"/>
      <c r="BZ148" s="27"/>
      <c r="CA148" s="27"/>
      <c r="CB148" s="27"/>
      <c r="CC148" s="27"/>
      <c r="CD148" s="27"/>
      <c r="CE148" s="27"/>
      <c r="CF148" s="27"/>
      <c r="CG148" s="27"/>
      <c r="CH148" s="27"/>
      <c r="CI148" s="27"/>
      <c r="CJ148" s="27"/>
      <c r="CK148" s="27"/>
      <c r="CL148" s="27"/>
      <c r="CM148" s="27"/>
      <c r="CN148" s="27"/>
      <c r="CO148" s="27"/>
      <c r="CP148" s="27"/>
      <c r="CQ148" s="27"/>
      <c r="CR148" s="27"/>
      <c r="CS148" s="27"/>
      <c r="CT148" s="27"/>
      <c r="CU148" s="27"/>
      <c r="CV148" s="27"/>
      <c r="CW148" s="27"/>
      <c r="CX148" s="27"/>
      <c r="CY148" s="27"/>
      <c r="CZ148" s="27"/>
      <c r="DA148" s="27"/>
      <c r="DB148" s="27"/>
      <c r="DC148" s="27"/>
    </row>
    <row r="149" spans="1:107" s="63" customFormat="1" x14ac:dyDescent="0.25">
      <c r="A149" s="43"/>
      <c r="Y149" s="65">
        <f>Y144*W143*1.097999999</f>
        <v>204373.530927935</v>
      </c>
      <c r="Z149" s="63">
        <f>Y144*1.097999999*X143</f>
        <v>204373.530927935</v>
      </c>
      <c r="AE149" s="66"/>
      <c r="AF149" s="67"/>
      <c r="AG149" s="68"/>
      <c r="AH149" s="61"/>
      <c r="AI149" s="61"/>
      <c r="AJ149" s="61"/>
      <c r="AK149" s="61"/>
      <c r="AL149" s="61"/>
      <c r="AM149" s="61"/>
      <c r="AN149" s="61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  <c r="BH149" s="27"/>
      <c r="BI149" s="27"/>
      <c r="BJ149" s="27"/>
      <c r="BK149" s="27"/>
      <c r="BL149" s="27"/>
      <c r="BM149" s="27"/>
      <c r="BN149" s="27"/>
      <c r="BO149" s="27"/>
      <c r="BP149" s="27"/>
      <c r="BQ149" s="27"/>
      <c r="BR149" s="27"/>
      <c r="BS149" s="27"/>
      <c r="BT149" s="27"/>
      <c r="BU149" s="27"/>
      <c r="BV149" s="27"/>
      <c r="BW149" s="27"/>
      <c r="BX149" s="27"/>
      <c r="BY149" s="27"/>
      <c r="BZ149" s="27"/>
      <c r="CA149" s="27"/>
      <c r="CB149" s="27"/>
      <c r="CC149" s="27"/>
      <c r="CD149" s="27"/>
      <c r="CE149" s="27"/>
      <c r="CF149" s="27"/>
      <c r="CG149" s="27"/>
      <c r="CH149" s="27"/>
      <c r="CI149" s="27"/>
      <c r="CJ149" s="27"/>
      <c r="CK149" s="27"/>
      <c r="CL149" s="27"/>
      <c r="CM149" s="27"/>
      <c r="CN149" s="27"/>
      <c r="CO149" s="27"/>
      <c r="CP149" s="27"/>
      <c r="CQ149" s="27"/>
      <c r="CR149" s="27"/>
      <c r="CS149" s="27"/>
      <c r="CT149" s="27"/>
      <c r="CU149" s="27"/>
      <c r="CV149" s="27"/>
      <c r="CW149" s="27"/>
      <c r="CX149" s="27"/>
      <c r="CY149" s="27"/>
      <c r="CZ149" s="27"/>
      <c r="DA149" s="27"/>
      <c r="DB149" s="27"/>
      <c r="DC149" s="27"/>
    </row>
    <row r="150" spans="1:107" x14ac:dyDescent="0.25">
      <c r="C150" s="3"/>
      <c r="Y150" s="7"/>
      <c r="AE150" s="6"/>
      <c r="AF150" s="2"/>
      <c r="AG150" s="18"/>
    </row>
    <row r="151" spans="1:107" x14ac:dyDescent="0.25">
      <c r="C151" s="3"/>
      <c r="Y151" s="7"/>
      <c r="AF151" s="2"/>
      <c r="AG151" s="18"/>
    </row>
    <row r="152" spans="1:107" x14ac:dyDescent="0.25">
      <c r="C152" s="3"/>
      <c r="Y152" s="7"/>
      <c r="Z152" s="7">
        <f>Z149-Z143</f>
        <v>187478.27336793501</v>
      </c>
      <c r="AF152" s="2"/>
      <c r="AG152" s="18"/>
    </row>
    <row r="153" spans="1:107" x14ac:dyDescent="0.25">
      <c r="AF153" s="2"/>
      <c r="AG153" s="18"/>
    </row>
    <row r="154" spans="1:107" x14ac:dyDescent="0.25">
      <c r="AF154" s="2"/>
      <c r="AG154" s="18"/>
    </row>
    <row r="155" spans="1:107" x14ac:dyDescent="0.25">
      <c r="AF155" s="2"/>
      <c r="AG155" s="18"/>
    </row>
    <row r="156" spans="1:107" x14ac:dyDescent="0.25">
      <c r="AF156" s="2"/>
      <c r="AG156" s="18"/>
    </row>
    <row r="157" spans="1:107" x14ac:dyDescent="0.25">
      <c r="AF157" s="2"/>
      <c r="AG157" s="18"/>
    </row>
    <row r="158" spans="1:107" x14ac:dyDescent="0.25">
      <c r="Z158" s="7"/>
      <c r="AF158" s="2"/>
      <c r="AG158" s="18"/>
    </row>
    <row r="159" spans="1:107" x14ac:dyDescent="0.25">
      <c r="AF159" s="2"/>
      <c r="AG159" s="18"/>
    </row>
    <row r="160" spans="1:107" x14ac:dyDescent="0.25">
      <c r="AF160" s="2"/>
      <c r="AG160" s="18"/>
    </row>
    <row r="161" spans="32:33" x14ac:dyDescent="0.25">
      <c r="AF161" s="2"/>
      <c r="AG161" s="18"/>
    </row>
    <row r="162" spans="32:33" x14ac:dyDescent="0.25">
      <c r="AF162" s="2"/>
      <c r="AG162" s="18"/>
    </row>
    <row r="163" spans="32:33" x14ac:dyDescent="0.25">
      <c r="AF163" s="2"/>
      <c r="AG163" s="18"/>
    </row>
    <row r="164" spans="32:33" x14ac:dyDescent="0.25">
      <c r="AF164" s="2"/>
      <c r="AG164" s="18"/>
    </row>
    <row r="165" spans="32:33" x14ac:dyDescent="0.25">
      <c r="AF165" s="2"/>
      <c r="AG165" s="18"/>
    </row>
    <row r="166" spans="32:33" x14ac:dyDescent="0.25">
      <c r="AF166" s="2"/>
      <c r="AG166" s="18"/>
    </row>
    <row r="167" spans="32:33" x14ac:dyDescent="0.25">
      <c r="AF167" s="2"/>
      <c r="AG167" s="18"/>
    </row>
    <row r="168" spans="32:33" x14ac:dyDescent="0.25">
      <c r="AF168" s="2"/>
      <c r="AG168" s="18"/>
    </row>
    <row r="169" spans="32:33" x14ac:dyDescent="0.25">
      <c r="AF169" s="2"/>
      <c r="AG169" s="18"/>
    </row>
    <row r="170" spans="32:33" x14ac:dyDescent="0.25">
      <c r="AF170" s="2"/>
      <c r="AG170" s="18"/>
    </row>
    <row r="171" spans="32:33" x14ac:dyDescent="0.25">
      <c r="AF171" s="2"/>
      <c r="AG171" s="18"/>
    </row>
    <row r="172" spans="32:33" x14ac:dyDescent="0.25">
      <c r="AF172" s="2"/>
      <c r="AG172" s="18"/>
    </row>
    <row r="173" spans="32:33" x14ac:dyDescent="0.25">
      <c r="AF173" s="2"/>
      <c r="AG173" s="18"/>
    </row>
    <row r="174" spans="32:33" x14ac:dyDescent="0.25">
      <c r="AF174" s="2"/>
      <c r="AG174" s="18"/>
    </row>
    <row r="175" spans="32:33" x14ac:dyDescent="0.25">
      <c r="AF175" s="2"/>
      <c r="AG175" s="18"/>
    </row>
    <row r="176" spans="32:33" x14ac:dyDescent="0.25">
      <c r="AF176" s="2"/>
      <c r="AG176" s="18"/>
    </row>
    <row r="177" spans="32:33" x14ac:dyDescent="0.25">
      <c r="AF177" s="2"/>
      <c r="AG177" s="18"/>
    </row>
    <row r="178" spans="32:33" x14ac:dyDescent="0.25">
      <c r="AF178" s="2"/>
      <c r="AG178" s="18"/>
    </row>
    <row r="179" spans="32:33" x14ac:dyDescent="0.25">
      <c r="AF179" s="2"/>
      <c r="AG179" s="18"/>
    </row>
    <row r="180" spans="32:33" x14ac:dyDescent="0.25">
      <c r="AF180" s="2"/>
      <c r="AG180" s="18"/>
    </row>
    <row r="181" spans="32:33" x14ac:dyDescent="0.25">
      <c r="AF181" s="2"/>
      <c r="AG181" s="18"/>
    </row>
    <row r="182" spans="32:33" x14ac:dyDescent="0.25">
      <c r="AF182" s="2"/>
      <c r="AG182" s="18"/>
    </row>
    <row r="183" spans="32:33" x14ac:dyDescent="0.25">
      <c r="AF183" s="2"/>
      <c r="AG183" s="18"/>
    </row>
    <row r="184" spans="32:33" x14ac:dyDescent="0.25">
      <c r="AF184" s="2"/>
      <c r="AG184" s="18"/>
    </row>
    <row r="185" spans="32:33" x14ac:dyDescent="0.25">
      <c r="AF185" s="2"/>
      <c r="AG185" s="18"/>
    </row>
    <row r="186" spans="32:33" x14ac:dyDescent="0.25">
      <c r="AF186" s="2"/>
      <c r="AG186" s="18"/>
    </row>
    <row r="187" spans="32:33" x14ac:dyDescent="0.25">
      <c r="AF187" s="2"/>
      <c r="AG187" s="18"/>
    </row>
    <row r="188" spans="32:33" x14ac:dyDescent="0.25">
      <c r="AF188" s="2"/>
      <c r="AG188" s="18"/>
    </row>
    <row r="189" spans="32:33" x14ac:dyDescent="0.25">
      <c r="AF189" s="2"/>
      <c r="AG189" s="18"/>
    </row>
    <row r="190" spans="32:33" x14ac:dyDescent="0.25">
      <c r="AF190" s="2"/>
      <c r="AG190" s="18"/>
    </row>
    <row r="191" spans="32:33" x14ac:dyDescent="0.25">
      <c r="AF191" s="2"/>
      <c r="AG191" s="18"/>
    </row>
    <row r="192" spans="32:33" x14ac:dyDescent="0.25">
      <c r="AF192" s="2"/>
      <c r="AG192" s="18"/>
    </row>
    <row r="193" spans="32:33" x14ac:dyDescent="0.25">
      <c r="AF193" s="2"/>
      <c r="AG193" s="18"/>
    </row>
    <row r="194" spans="32:33" x14ac:dyDescent="0.25">
      <c r="AF194" s="2"/>
      <c r="AG194" s="18"/>
    </row>
    <row r="195" spans="32:33" x14ac:dyDescent="0.25">
      <c r="AF195" s="2"/>
      <c r="AG195" s="18"/>
    </row>
    <row r="196" spans="32:33" x14ac:dyDescent="0.25">
      <c r="AF196" s="2"/>
      <c r="AG196" s="18"/>
    </row>
    <row r="197" spans="32:33" x14ac:dyDescent="0.25">
      <c r="AF197" s="2"/>
      <c r="AG197" s="18"/>
    </row>
    <row r="198" spans="32:33" x14ac:dyDescent="0.25">
      <c r="AF198" s="2"/>
      <c r="AG198" s="18"/>
    </row>
    <row r="199" spans="32:33" x14ac:dyDescent="0.25">
      <c r="AF199" s="2"/>
      <c r="AG199" s="18"/>
    </row>
    <row r="200" spans="32:33" x14ac:dyDescent="0.25">
      <c r="AF200" s="2"/>
      <c r="AG200" s="18"/>
    </row>
    <row r="201" spans="32:33" x14ac:dyDescent="0.25">
      <c r="AF201" s="2"/>
      <c r="AG201" s="18"/>
    </row>
    <row r="202" spans="32:33" x14ac:dyDescent="0.25">
      <c r="AF202" s="2"/>
      <c r="AG202" s="18"/>
    </row>
    <row r="203" spans="32:33" x14ac:dyDescent="0.25">
      <c r="AF203" s="2"/>
      <c r="AG203" s="18"/>
    </row>
    <row r="204" spans="32:33" x14ac:dyDescent="0.25">
      <c r="AF204" s="2"/>
      <c r="AG204" s="18"/>
    </row>
    <row r="205" spans="32:33" x14ac:dyDescent="0.25">
      <c r="AF205" s="2"/>
      <c r="AG205" s="18"/>
    </row>
    <row r="206" spans="32:33" x14ac:dyDescent="0.25">
      <c r="AF206" s="2"/>
      <c r="AG206" s="18"/>
    </row>
    <row r="207" spans="32:33" x14ac:dyDescent="0.25">
      <c r="AF207" s="2"/>
      <c r="AG207" s="18"/>
    </row>
    <row r="208" spans="32:33" x14ac:dyDescent="0.25">
      <c r="AF208" s="2"/>
      <c r="AG208" s="18"/>
    </row>
    <row r="209" spans="32:33" x14ac:dyDescent="0.25">
      <c r="AF209" s="2"/>
      <c r="AG209" s="18"/>
    </row>
    <row r="210" spans="32:33" x14ac:dyDescent="0.25">
      <c r="AF210" s="2"/>
      <c r="AG210" s="18"/>
    </row>
    <row r="211" spans="32:33" x14ac:dyDescent="0.25">
      <c r="AF211" s="2"/>
      <c r="AG211" s="18"/>
    </row>
    <row r="212" spans="32:33" x14ac:dyDescent="0.25">
      <c r="AF212" s="2"/>
      <c r="AG212" s="18"/>
    </row>
    <row r="213" spans="32:33" x14ac:dyDescent="0.25">
      <c r="AF213" s="2"/>
      <c r="AG213" s="18"/>
    </row>
    <row r="214" spans="32:33" x14ac:dyDescent="0.25">
      <c r="AF214" s="2"/>
      <c r="AG214" s="18"/>
    </row>
    <row r="215" spans="32:33" x14ac:dyDescent="0.25">
      <c r="AF215" s="2"/>
      <c r="AG215" s="18"/>
    </row>
    <row r="216" spans="32:33" x14ac:dyDescent="0.25">
      <c r="AF216" s="2"/>
      <c r="AG216" s="18"/>
    </row>
    <row r="217" spans="32:33" x14ac:dyDescent="0.25">
      <c r="AF217" s="2"/>
      <c r="AG217" s="18"/>
    </row>
    <row r="218" spans="32:33" x14ac:dyDescent="0.25">
      <c r="AF218" s="2"/>
      <c r="AG218" s="18"/>
    </row>
    <row r="219" spans="32:33" x14ac:dyDescent="0.25">
      <c r="AF219" s="2"/>
      <c r="AG219" s="18"/>
    </row>
    <row r="220" spans="32:33" x14ac:dyDescent="0.25">
      <c r="AF220" s="2"/>
      <c r="AG220" s="18"/>
    </row>
    <row r="221" spans="32:33" x14ac:dyDescent="0.25">
      <c r="AF221" s="2"/>
      <c r="AG221" s="18"/>
    </row>
    <row r="222" spans="32:33" x14ac:dyDescent="0.25">
      <c r="AF222" s="2"/>
      <c r="AG222" s="18"/>
    </row>
    <row r="223" spans="32:33" x14ac:dyDescent="0.25">
      <c r="AF223" s="2"/>
      <c r="AG223" s="18"/>
    </row>
    <row r="224" spans="32:33" x14ac:dyDescent="0.25">
      <c r="AF224" s="2"/>
      <c r="AG224" s="18"/>
    </row>
    <row r="225" spans="32:33" x14ac:dyDescent="0.25">
      <c r="AF225" s="2"/>
      <c r="AG225" s="18"/>
    </row>
    <row r="226" spans="32:33" x14ac:dyDescent="0.25">
      <c r="AF226" s="2"/>
      <c r="AG226" s="18"/>
    </row>
    <row r="227" spans="32:33" x14ac:dyDescent="0.25">
      <c r="AF227" s="2"/>
      <c r="AG227" s="18"/>
    </row>
    <row r="228" spans="32:33" x14ac:dyDescent="0.25">
      <c r="AF228" s="2"/>
      <c r="AG228" s="18"/>
    </row>
    <row r="229" spans="32:33" x14ac:dyDescent="0.25">
      <c r="AF229" s="2"/>
      <c r="AG229" s="18"/>
    </row>
    <row r="230" spans="32:33" x14ac:dyDescent="0.25">
      <c r="AF230" s="2"/>
      <c r="AG230" s="18"/>
    </row>
    <row r="231" spans="32:33" x14ac:dyDescent="0.25">
      <c r="AF231" s="2"/>
      <c r="AG231" s="18"/>
    </row>
    <row r="232" spans="32:33" x14ac:dyDescent="0.25">
      <c r="AF232" s="2"/>
      <c r="AG232" s="18"/>
    </row>
    <row r="233" spans="32:33" x14ac:dyDescent="0.25">
      <c r="AF233" s="2"/>
      <c r="AG233" s="18"/>
    </row>
    <row r="234" spans="32:33" x14ac:dyDescent="0.25">
      <c r="AF234" s="2"/>
      <c r="AG234" s="18"/>
    </row>
    <row r="235" spans="32:33" x14ac:dyDescent="0.25">
      <c r="AF235" s="2"/>
      <c r="AG235" s="18"/>
    </row>
    <row r="236" spans="32:33" x14ac:dyDescent="0.25">
      <c r="AF236" s="2"/>
      <c r="AG236" s="18"/>
    </row>
    <row r="237" spans="32:33" x14ac:dyDescent="0.25">
      <c r="AF237" s="2"/>
      <c r="AG237" s="18"/>
    </row>
    <row r="238" spans="32:33" x14ac:dyDescent="0.25">
      <c r="AF238" s="2"/>
      <c r="AG238" s="18"/>
    </row>
    <row r="239" spans="32:33" x14ac:dyDescent="0.25">
      <c r="AF239" s="2"/>
      <c r="AG239" s="18"/>
    </row>
    <row r="240" spans="32:33" x14ac:dyDescent="0.25">
      <c r="AF240" s="2"/>
      <c r="AG240" s="18"/>
    </row>
    <row r="241" spans="32:33" x14ac:dyDescent="0.25">
      <c r="AF241" s="2"/>
      <c r="AG241" s="18"/>
    </row>
    <row r="242" spans="32:33" x14ac:dyDescent="0.25">
      <c r="AF242" s="2"/>
      <c r="AG242" s="18"/>
    </row>
    <row r="243" spans="32:33" x14ac:dyDescent="0.25">
      <c r="AF243" s="2"/>
      <c r="AG243" s="18"/>
    </row>
    <row r="244" spans="32:33" x14ac:dyDescent="0.25">
      <c r="AF244" s="2"/>
      <c r="AG244" s="18"/>
    </row>
    <row r="245" spans="32:33" x14ac:dyDescent="0.25">
      <c r="AF245" s="2"/>
      <c r="AG245" s="18"/>
    </row>
    <row r="246" spans="32:33" x14ac:dyDescent="0.25">
      <c r="AF246" s="2"/>
      <c r="AG246" s="18"/>
    </row>
    <row r="247" spans="32:33" x14ac:dyDescent="0.25">
      <c r="AF247" s="2"/>
      <c r="AG247" s="18"/>
    </row>
    <row r="248" spans="32:33" x14ac:dyDescent="0.25">
      <c r="AF248" s="2"/>
      <c r="AG248" s="18"/>
    </row>
    <row r="249" spans="32:33" x14ac:dyDescent="0.25">
      <c r="AF249" s="2"/>
      <c r="AG249" s="18"/>
    </row>
    <row r="250" spans="32:33" x14ac:dyDescent="0.25">
      <c r="AF250" s="2"/>
      <c r="AG250" s="18"/>
    </row>
    <row r="251" spans="32:33" x14ac:dyDescent="0.25">
      <c r="AF251" s="2"/>
      <c r="AG251" s="18"/>
    </row>
    <row r="252" spans="32:33" x14ac:dyDescent="0.25">
      <c r="AF252" s="2"/>
      <c r="AG252" s="18"/>
    </row>
    <row r="253" spans="32:33" x14ac:dyDescent="0.25">
      <c r="AF253" s="2"/>
      <c r="AG253" s="18"/>
    </row>
    <row r="254" spans="32:33" x14ac:dyDescent="0.25">
      <c r="AF254" s="2"/>
      <c r="AG254" s="18"/>
    </row>
    <row r="255" spans="32:33" x14ac:dyDescent="0.25">
      <c r="AF255" s="2"/>
      <c r="AG255" s="18"/>
    </row>
    <row r="256" spans="32:33" x14ac:dyDescent="0.25">
      <c r="AF256" s="2"/>
      <c r="AG256" s="18"/>
    </row>
    <row r="257" spans="32:33" x14ac:dyDescent="0.25">
      <c r="AF257" s="2"/>
      <c r="AG257" s="18"/>
    </row>
    <row r="258" spans="32:33" x14ac:dyDescent="0.25">
      <c r="AF258" s="2"/>
      <c r="AG258" s="18"/>
    </row>
    <row r="259" spans="32:33" x14ac:dyDescent="0.25">
      <c r="AF259" s="2"/>
      <c r="AG259" s="18"/>
    </row>
    <row r="260" spans="32:33" x14ac:dyDescent="0.25">
      <c r="AF260" s="2"/>
      <c r="AG260" s="18"/>
    </row>
    <row r="261" spans="32:33" x14ac:dyDescent="0.25">
      <c r="AF261" s="2"/>
      <c r="AG261" s="18"/>
    </row>
    <row r="262" spans="32:33" x14ac:dyDescent="0.25">
      <c r="AF262" s="2"/>
      <c r="AG262" s="18"/>
    </row>
    <row r="263" spans="32:33" x14ac:dyDescent="0.25">
      <c r="AF263" s="2"/>
      <c r="AG263" s="18"/>
    </row>
    <row r="264" spans="32:33" x14ac:dyDescent="0.25">
      <c r="AF264" s="2"/>
      <c r="AG264" s="18"/>
    </row>
    <row r="265" spans="32:33" x14ac:dyDescent="0.25">
      <c r="AF265" s="2"/>
      <c r="AG265" s="18"/>
    </row>
    <row r="266" spans="32:33" x14ac:dyDescent="0.25">
      <c r="AF266" s="2"/>
      <c r="AG266" s="18"/>
    </row>
    <row r="267" spans="32:33" x14ac:dyDescent="0.25">
      <c r="AF267" s="2"/>
      <c r="AG267" s="18"/>
    </row>
    <row r="268" spans="32:33" x14ac:dyDescent="0.25">
      <c r="AF268" s="2"/>
      <c r="AG268" s="18"/>
    </row>
    <row r="269" spans="32:33" x14ac:dyDescent="0.25">
      <c r="AF269" s="2"/>
      <c r="AG269" s="18"/>
    </row>
    <row r="270" spans="32:33" x14ac:dyDescent="0.25">
      <c r="AF270" s="2"/>
      <c r="AG270" s="18"/>
    </row>
    <row r="271" spans="32:33" x14ac:dyDescent="0.25">
      <c r="AF271" s="2"/>
      <c r="AG271" s="18"/>
    </row>
    <row r="272" spans="32:33" x14ac:dyDescent="0.25">
      <c r="AF272" s="2"/>
      <c r="AG272" s="18"/>
    </row>
    <row r="273" spans="32:33" x14ac:dyDescent="0.25">
      <c r="AF273" s="2"/>
      <c r="AG273" s="18"/>
    </row>
    <row r="274" spans="32:33" x14ac:dyDescent="0.25">
      <c r="AF274" s="2"/>
      <c r="AG274" s="18"/>
    </row>
    <row r="275" spans="32:33" x14ac:dyDescent="0.25">
      <c r="AF275" s="2"/>
      <c r="AG275" s="18"/>
    </row>
    <row r="276" spans="32:33" x14ac:dyDescent="0.25">
      <c r="AF276" s="2"/>
      <c r="AG276" s="18"/>
    </row>
    <row r="277" spans="32:33" x14ac:dyDescent="0.25">
      <c r="AF277" s="2"/>
      <c r="AG277" s="18"/>
    </row>
    <row r="278" spans="32:33" x14ac:dyDescent="0.25">
      <c r="AF278" s="2"/>
      <c r="AG278" s="18"/>
    </row>
    <row r="279" spans="32:33" x14ac:dyDescent="0.25">
      <c r="AF279" s="2"/>
      <c r="AG279" s="18"/>
    </row>
    <row r="280" spans="32:33" x14ac:dyDescent="0.25">
      <c r="AF280" s="2"/>
      <c r="AG280" s="18"/>
    </row>
    <row r="281" spans="32:33" x14ac:dyDescent="0.25">
      <c r="AF281" s="2"/>
      <c r="AG281" s="18"/>
    </row>
    <row r="282" spans="32:33" x14ac:dyDescent="0.25">
      <c r="AF282" s="2"/>
      <c r="AG282" s="18"/>
    </row>
    <row r="283" spans="32:33" x14ac:dyDescent="0.25">
      <c r="AF283" s="2"/>
      <c r="AG283" s="18"/>
    </row>
    <row r="284" spans="32:33" x14ac:dyDescent="0.25">
      <c r="AF284" s="2"/>
      <c r="AG284" s="18"/>
    </row>
    <row r="285" spans="32:33" x14ac:dyDescent="0.25">
      <c r="AF285" s="2"/>
      <c r="AG285" s="18"/>
    </row>
    <row r="286" spans="32:33" x14ac:dyDescent="0.25">
      <c r="AF286" s="2"/>
      <c r="AG286" s="18"/>
    </row>
    <row r="287" spans="32:33" x14ac:dyDescent="0.25">
      <c r="AF287" s="2"/>
      <c r="AG287" s="18"/>
    </row>
    <row r="288" spans="32:33" x14ac:dyDescent="0.25">
      <c r="AF288" s="2"/>
      <c r="AG288" s="18"/>
    </row>
    <row r="289" spans="32:33" x14ac:dyDescent="0.25">
      <c r="AF289" s="2"/>
      <c r="AG289" s="18"/>
    </row>
    <row r="290" spans="32:33" x14ac:dyDescent="0.25">
      <c r="AF290" s="2"/>
      <c r="AG290" s="18"/>
    </row>
    <row r="291" spans="32:33" x14ac:dyDescent="0.25">
      <c r="AF291" s="2"/>
      <c r="AG291" s="18"/>
    </row>
    <row r="292" spans="32:33" x14ac:dyDescent="0.25">
      <c r="AF292" s="2"/>
      <c r="AG292" s="18"/>
    </row>
    <row r="293" spans="32:33" x14ac:dyDescent="0.25">
      <c r="AF293" s="2"/>
      <c r="AG293" s="18"/>
    </row>
    <row r="294" spans="32:33" x14ac:dyDescent="0.25">
      <c r="AF294" s="2"/>
      <c r="AG294" s="18"/>
    </row>
    <row r="295" spans="32:33" x14ac:dyDescent="0.25">
      <c r="AF295" s="2"/>
      <c r="AG295" s="18"/>
    </row>
    <row r="296" spans="32:33" x14ac:dyDescent="0.25">
      <c r="AF296" s="2"/>
      <c r="AG296" s="18"/>
    </row>
    <row r="297" spans="32:33" x14ac:dyDescent="0.25">
      <c r="AF297" s="2"/>
      <c r="AG297" s="18"/>
    </row>
    <row r="298" spans="32:33" x14ac:dyDescent="0.25">
      <c r="AF298" s="2"/>
      <c r="AG298" s="18"/>
    </row>
    <row r="299" spans="32:33" x14ac:dyDescent="0.25">
      <c r="AF299" s="2"/>
      <c r="AG299" s="18"/>
    </row>
    <row r="300" spans="32:33" x14ac:dyDescent="0.25">
      <c r="AF300" s="2"/>
      <c r="AG300" s="18"/>
    </row>
    <row r="301" spans="32:33" x14ac:dyDescent="0.25">
      <c r="AF301" s="2"/>
      <c r="AG301" s="18"/>
    </row>
    <row r="302" spans="32:33" x14ac:dyDescent="0.25">
      <c r="AF302" s="2"/>
      <c r="AG302" s="18"/>
    </row>
    <row r="303" spans="32:33" x14ac:dyDescent="0.25">
      <c r="AF303" s="2"/>
      <c r="AG303" s="18"/>
    </row>
    <row r="304" spans="32:33" x14ac:dyDescent="0.25">
      <c r="AF304" s="2"/>
      <c r="AG304" s="18"/>
    </row>
    <row r="305" spans="32:33" x14ac:dyDescent="0.25">
      <c r="AF305" s="2"/>
      <c r="AG305" s="18"/>
    </row>
    <row r="306" spans="32:33" x14ac:dyDescent="0.25">
      <c r="AF306" s="2"/>
      <c r="AG306" s="18"/>
    </row>
    <row r="307" spans="32:33" x14ac:dyDescent="0.25">
      <c r="AF307" s="2"/>
      <c r="AG307" s="18"/>
    </row>
    <row r="308" spans="32:33" x14ac:dyDescent="0.25">
      <c r="AF308" s="2"/>
      <c r="AG308" s="18"/>
    </row>
    <row r="309" spans="32:33" x14ac:dyDescent="0.25">
      <c r="AF309" s="2"/>
      <c r="AG309" s="18"/>
    </row>
    <row r="310" spans="32:33" x14ac:dyDescent="0.25">
      <c r="AF310" s="2"/>
      <c r="AG310" s="18"/>
    </row>
    <row r="311" spans="32:33" x14ac:dyDescent="0.25">
      <c r="AF311" s="2"/>
      <c r="AG311" s="18"/>
    </row>
    <row r="312" spans="32:33" x14ac:dyDescent="0.25">
      <c r="AF312" s="2"/>
      <c r="AG312" s="18"/>
    </row>
    <row r="313" spans="32:33" x14ac:dyDescent="0.25">
      <c r="AF313" s="2"/>
      <c r="AG313" s="18"/>
    </row>
    <row r="314" spans="32:33" x14ac:dyDescent="0.25">
      <c r="AF314" s="2"/>
      <c r="AG314" s="18"/>
    </row>
    <row r="315" spans="32:33" x14ac:dyDescent="0.25">
      <c r="AF315" s="2"/>
      <c r="AG315" s="18"/>
    </row>
    <row r="316" spans="32:33" x14ac:dyDescent="0.25">
      <c r="AF316" s="2"/>
      <c r="AG316" s="18"/>
    </row>
    <row r="317" spans="32:33" x14ac:dyDescent="0.25">
      <c r="AF317" s="2"/>
      <c r="AG317" s="18"/>
    </row>
    <row r="318" spans="32:33" x14ac:dyDescent="0.25">
      <c r="AF318" s="2"/>
      <c r="AG318" s="18"/>
    </row>
    <row r="319" spans="32:33" x14ac:dyDescent="0.25">
      <c r="AF319" s="2"/>
      <c r="AG319" s="18"/>
    </row>
    <row r="320" spans="32:33" x14ac:dyDescent="0.25">
      <c r="AF320" s="2"/>
      <c r="AG320" s="18"/>
    </row>
    <row r="321" spans="32:33" x14ac:dyDescent="0.25">
      <c r="AF321" s="2"/>
      <c r="AG321" s="18"/>
    </row>
    <row r="322" spans="32:33" x14ac:dyDescent="0.25">
      <c r="AF322" s="2"/>
      <c r="AG322" s="18"/>
    </row>
    <row r="323" spans="32:33" x14ac:dyDescent="0.25">
      <c r="AF323" s="2"/>
      <c r="AG323" s="18"/>
    </row>
    <row r="324" spans="32:33" x14ac:dyDescent="0.25">
      <c r="AF324" s="2"/>
      <c r="AG324" s="18"/>
    </row>
    <row r="325" spans="32:33" x14ac:dyDescent="0.25">
      <c r="AF325" s="2"/>
      <c r="AG325" s="18"/>
    </row>
    <row r="326" spans="32:33" x14ac:dyDescent="0.25">
      <c r="AF326" s="2"/>
      <c r="AG326" s="18"/>
    </row>
    <row r="327" spans="32:33" x14ac:dyDescent="0.25">
      <c r="AF327" s="2"/>
      <c r="AG327" s="18"/>
    </row>
    <row r="328" spans="32:33" x14ac:dyDescent="0.25">
      <c r="AF328" s="2"/>
      <c r="AG328" s="18"/>
    </row>
    <row r="329" spans="32:33" x14ac:dyDescent="0.25">
      <c r="AF329" s="2"/>
      <c r="AG329" s="18"/>
    </row>
    <row r="330" spans="32:33" x14ac:dyDescent="0.25">
      <c r="AF330" s="2"/>
      <c r="AG330" s="18"/>
    </row>
    <row r="331" spans="32:33" x14ac:dyDescent="0.25">
      <c r="AF331" s="2"/>
      <c r="AG331" s="18"/>
    </row>
    <row r="332" spans="32:33" x14ac:dyDescent="0.25">
      <c r="AF332" s="2"/>
      <c r="AG332" s="18"/>
    </row>
    <row r="333" spans="32:33" x14ac:dyDescent="0.25">
      <c r="AF333" s="2"/>
      <c r="AG333" s="18"/>
    </row>
    <row r="334" spans="32:33" x14ac:dyDescent="0.25">
      <c r="AF334" s="2"/>
      <c r="AG334" s="18"/>
    </row>
    <row r="335" spans="32:33" x14ac:dyDescent="0.25">
      <c r="AF335" s="2"/>
      <c r="AG335" s="18"/>
    </row>
    <row r="336" spans="32:33" x14ac:dyDescent="0.25">
      <c r="AF336" s="2"/>
      <c r="AG336" s="18"/>
    </row>
    <row r="337" spans="32:33" x14ac:dyDescent="0.25">
      <c r="AF337" s="2"/>
      <c r="AG337" s="18"/>
    </row>
    <row r="338" spans="32:33" x14ac:dyDescent="0.25">
      <c r="AF338" s="2"/>
      <c r="AG338" s="18"/>
    </row>
    <row r="339" spans="32:33" x14ac:dyDescent="0.25">
      <c r="AF339" s="2"/>
      <c r="AG339" s="18"/>
    </row>
    <row r="340" spans="32:33" x14ac:dyDescent="0.25">
      <c r="AF340" s="2"/>
      <c r="AG340" s="18"/>
    </row>
    <row r="341" spans="32:33" x14ac:dyDescent="0.25">
      <c r="AF341" s="2"/>
      <c r="AG341" s="18"/>
    </row>
    <row r="342" spans="32:33" x14ac:dyDescent="0.25">
      <c r="AF342" s="2"/>
      <c r="AG342" s="18"/>
    </row>
    <row r="343" spans="32:33" x14ac:dyDescent="0.25">
      <c r="AF343" s="2"/>
      <c r="AG343" s="18"/>
    </row>
    <row r="344" spans="32:33" x14ac:dyDescent="0.25">
      <c r="AF344" s="2"/>
      <c r="AG344" s="18"/>
    </row>
    <row r="345" spans="32:33" x14ac:dyDescent="0.25">
      <c r="AF345" s="2"/>
      <c r="AG345" s="18"/>
    </row>
    <row r="346" spans="32:33" x14ac:dyDescent="0.25">
      <c r="AF346" s="2"/>
      <c r="AG346" s="18"/>
    </row>
    <row r="347" spans="32:33" x14ac:dyDescent="0.25">
      <c r="AF347" s="2"/>
      <c r="AG347" s="18"/>
    </row>
    <row r="348" spans="32:33" x14ac:dyDescent="0.25">
      <c r="AF348" s="2"/>
      <c r="AG348" s="18"/>
    </row>
    <row r="349" spans="32:33" x14ac:dyDescent="0.25">
      <c r="AF349" s="2"/>
      <c r="AG349" s="18"/>
    </row>
    <row r="350" spans="32:33" x14ac:dyDescent="0.25">
      <c r="AF350" s="2"/>
      <c r="AG350" s="18"/>
    </row>
    <row r="351" spans="32:33" x14ac:dyDescent="0.25">
      <c r="AF351" s="2"/>
      <c r="AG351" s="18"/>
    </row>
    <row r="352" spans="32:33" x14ac:dyDescent="0.25">
      <c r="AF352" s="2"/>
      <c r="AG352" s="18"/>
    </row>
    <row r="353" spans="32:33" x14ac:dyDescent="0.25">
      <c r="AF353" s="2"/>
      <c r="AG353" s="18"/>
    </row>
    <row r="354" spans="32:33" x14ac:dyDescent="0.25">
      <c r="AF354" s="2"/>
      <c r="AG354" s="18"/>
    </row>
    <row r="355" spans="32:33" x14ac:dyDescent="0.25">
      <c r="AF355" s="2"/>
      <c r="AG355" s="18"/>
    </row>
    <row r="356" spans="32:33" x14ac:dyDescent="0.25">
      <c r="AF356" s="2"/>
      <c r="AG356" s="18"/>
    </row>
    <row r="357" spans="32:33" x14ac:dyDescent="0.25">
      <c r="AF357" s="2"/>
      <c r="AG357" s="18"/>
    </row>
    <row r="358" spans="32:33" x14ac:dyDescent="0.25">
      <c r="AF358" s="2"/>
      <c r="AG358" s="18"/>
    </row>
    <row r="359" spans="32:33" x14ac:dyDescent="0.25">
      <c r="AF359" s="2"/>
      <c r="AG359" s="18"/>
    </row>
    <row r="360" spans="32:33" x14ac:dyDescent="0.25">
      <c r="AF360" s="2"/>
      <c r="AG360" s="18"/>
    </row>
    <row r="361" spans="32:33" x14ac:dyDescent="0.25">
      <c r="AF361" s="2"/>
      <c r="AG361" s="18"/>
    </row>
    <row r="362" spans="32:33" x14ac:dyDescent="0.25">
      <c r="AF362" s="2"/>
      <c r="AG362" s="18"/>
    </row>
    <row r="363" spans="32:33" x14ac:dyDescent="0.25">
      <c r="AF363" s="2"/>
      <c r="AG363" s="18"/>
    </row>
    <row r="364" spans="32:33" x14ac:dyDescent="0.25">
      <c r="AF364" s="2"/>
      <c r="AG364" s="18"/>
    </row>
    <row r="365" spans="32:33" x14ac:dyDescent="0.25">
      <c r="AF365" s="2"/>
      <c r="AG365" s="18"/>
    </row>
    <row r="366" spans="32:33" x14ac:dyDescent="0.25">
      <c r="AF366" s="2"/>
      <c r="AG366" s="18"/>
    </row>
    <row r="367" spans="32:33" x14ac:dyDescent="0.25">
      <c r="AF367" s="2"/>
      <c r="AG367" s="18"/>
    </row>
    <row r="368" spans="32:33" x14ac:dyDescent="0.25">
      <c r="AF368" s="2"/>
      <c r="AG368" s="18"/>
    </row>
    <row r="369" spans="32:33" x14ac:dyDescent="0.25">
      <c r="AF369" s="2"/>
      <c r="AG369" s="18"/>
    </row>
    <row r="370" spans="32:33" x14ac:dyDescent="0.25">
      <c r="AF370" s="2"/>
      <c r="AG370" s="18"/>
    </row>
    <row r="371" spans="32:33" x14ac:dyDescent="0.25">
      <c r="AF371" s="2"/>
      <c r="AG371" s="18"/>
    </row>
    <row r="372" spans="32:33" x14ac:dyDescent="0.25">
      <c r="AF372" s="2"/>
      <c r="AG372" s="18"/>
    </row>
    <row r="373" spans="32:33" x14ac:dyDescent="0.25">
      <c r="AF373" s="2"/>
      <c r="AG373" s="18"/>
    </row>
    <row r="374" spans="32:33" x14ac:dyDescent="0.25">
      <c r="AF374" s="2"/>
      <c r="AG374" s="18"/>
    </row>
    <row r="375" spans="32:33" x14ac:dyDescent="0.25">
      <c r="AF375" s="2"/>
      <c r="AG375" s="18"/>
    </row>
    <row r="376" spans="32:33" x14ac:dyDescent="0.25">
      <c r="AF376" s="2"/>
      <c r="AG376" s="18"/>
    </row>
    <row r="377" spans="32:33" x14ac:dyDescent="0.25">
      <c r="AF377" s="2"/>
      <c r="AG377" s="18"/>
    </row>
    <row r="378" spans="32:33" x14ac:dyDescent="0.25">
      <c r="AF378" s="2"/>
      <c r="AG378" s="18"/>
    </row>
    <row r="379" spans="32:33" x14ac:dyDescent="0.25">
      <c r="AF379" s="2"/>
      <c r="AG379" s="18"/>
    </row>
    <row r="380" spans="32:33" x14ac:dyDescent="0.25">
      <c r="AF380" s="2"/>
      <c r="AG380" s="18"/>
    </row>
    <row r="381" spans="32:33" x14ac:dyDescent="0.25">
      <c r="AF381" s="2"/>
      <c r="AG381" s="18"/>
    </row>
    <row r="382" spans="32:33" x14ac:dyDescent="0.25">
      <c r="AF382" s="2"/>
      <c r="AG382" s="18"/>
    </row>
    <row r="383" spans="32:33" x14ac:dyDescent="0.25">
      <c r="AF383" s="2"/>
      <c r="AG383" s="18"/>
    </row>
    <row r="384" spans="32:33" x14ac:dyDescent="0.25">
      <c r="AF384" s="2"/>
      <c r="AG384" s="18"/>
    </row>
    <row r="385" spans="32:33" x14ac:dyDescent="0.25">
      <c r="AF385" s="2"/>
      <c r="AG385" s="18"/>
    </row>
    <row r="386" spans="32:33" x14ac:dyDescent="0.25">
      <c r="AF386" s="2"/>
      <c r="AG386" s="18"/>
    </row>
    <row r="387" spans="32:33" x14ac:dyDescent="0.25">
      <c r="AF387" s="2"/>
      <c r="AG387" s="18"/>
    </row>
    <row r="388" spans="32:33" x14ac:dyDescent="0.25">
      <c r="AF388" s="2"/>
      <c r="AG388" s="18"/>
    </row>
    <row r="389" spans="32:33" x14ac:dyDescent="0.25">
      <c r="AF389" s="2"/>
      <c r="AG389" s="18"/>
    </row>
    <row r="390" spans="32:33" x14ac:dyDescent="0.25">
      <c r="AF390" s="2"/>
      <c r="AG390" s="18"/>
    </row>
    <row r="391" spans="32:33" x14ac:dyDescent="0.25">
      <c r="AF391" s="2"/>
      <c r="AG391" s="18"/>
    </row>
    <row r="392" spans="32:33" x14ac:dyDescent="0.25">
      <c r="AF392" s="2"/>
      <c r="AG392" s="18"/>
    </row>
    <row r="393" spans="32:33" x14ac:dyDescent="0.25">
      <c r="AF393" s="2"/>
      <c r="AG393" s="18"/>
    </row>
    <row r="394" spans="32:33" x14ac:dyDescent="0.25">
      <c r="AF394" s="2"/>
      <c r="AG394" s="18"/>
    </row>
    <row r="395" spans="32:33" x14ac:dyDescent="0.25">
      <c r="AF395" s="2"/>
      <c r="AG395" s="18"/>
    </row>
    <row r="396" spans="32:33" x14ac:dyDescent="0.25">
      <c r="AF396" s="2"/>
      <c r="AG396" s="18"/>
    </row>
    <row r="397" spans="32:33" x14ac:dyDescent="0.25">
      <c r="AF397" s="2"/>
      <c r="AG397" s="18"/>
    </row>
    <row r="398" spans="32:33" x14ac:dyDescent="0.25">
      <c r="AF398" s="2"/>
      <c r="AG398" s="18"/>
    </row>
    <row r="399" spans="32:33" x14ac:dyDescent="0.25">
      <c r="AF399" s="2"/>
      <c r="AG399" s="18"/>
    </row>
    <row r="400" spans="32:33" x14ac:dyDescent="0.25">
      <c r="AF400" s="2"/>
      <c r="AG400" s="18"/>
    </row>
    <row r="401" spans="32:33" x14ac:dyDescent="0.25">
      <c r="AF401" s="2"/>
      <c r="AG401" s="18"/>
    </row>
    <row r="402" spans="32:33" x14ac:dyDescent="0.25">
      <c r="AF402" s="2"/>
      <c r="AG402" s="18"/>
    </row>
    <row r="403" spans="32:33" x14ac:dyDescent="0.25">
      <c r="AF403" s="2"/>
      <c r="AG403" s="18"/>
    </row>
    <row r="404" spans="32:33" x14ac:dyDescent="0.25">
      <c r="AF404" s="2"/>
      <c r="AG404" s="18"/>
    </row>
    <row r="405" spans="32:33" x14ac:dyDescent="0.25">
      <c r="AF405" s="2"/>
      <c r="AG405" s="18"/>
    </row>
    <row r="406" spans="32:33" x14ac:dyDescent="0.25">
      <c r="AF406" s="2"/>
      <c r="AG406" s="18"/>
    </row>
    <row r="407" spans="32:33" x14ac:dyDescent="0.25">
      <c r="AF407" s="2"/>
      <c r="AG407" s="18"/>
    </row>
    <row r="408" spans="32:33" x14ac:dyDescent="0.25">
      <c r="AF408" s="2"/>
      <c r="AG408" s="18"/>
    </row>
    <row r="409" spans="32:33" x14ac:dyDescent="0.25">
      <c r="AF409" s="2"/>
      <c r="AG409" s="18"/>
    </row>
    <row r="410" spans="32:33" x14ac:dyDescent="0.25">
      <c r="AF410" s="2"/>
      <c r="AG410" s="18"/>
    </row>
    <row r="411" spans="32:33" x14ac:dyDescent="0.25">
      <c r="AF411" s="2"/>
      <c r="AG411" s="18"/>
    </row>
    <row r="412" spans="32:33" x14ac:dyDescent="0.25">
      <c r="AF412" s="2"/>
      <c r="AG412" s="18"/>
    </row>
    <row r="413" spans="32:33" x14ac:dyDescent="0.25">
      <c r="AF413" s="2"/>
      <c r="AG413" s="18"/>
    </row>
    <row r="414" spans="32:33" x14ac:dyDescent="0.25">
      <c r="AF414" s="2"/>
      <c r="AG414" s="18"/>
    </row>
    <row r="415" spans="32:33" x14ac:dyDescent="0.25">
      <c r="AF415" s="2"/>
      <c r="AG415" s="18"/>
    </row>
    <row r="416" spans="32:33" x14ac:dyDescent="0.25">
      <c r="AF416" s="2"/>
      <c r="AG416" s="18"/>
    </row>
    <row r="417" spans="32:33" x14ac:dyDescent="0.25">
      <c r="AF417" s="2"/>
      <c r="AG417" s="18"/>
    </row>
    <row r="418" spans="32:33" x14ac:dyDescent="0.25">
      <c r="AF418" s="2"/>
      <c r="AG418" s="18"/>
    </row>
    <row r="419" spans="32:33" x14ac:dyDescent="0.25">
      <c r="AF419" s="2"/>
      <c r="AG419" s="18"/>
    </row>
    <row r="420" spans="32:33" x14ac:dyDescent="0.25">
      <c r="AF420" s="2"/>
      <c r="AG420" s="18"/>
    </row>
    <row r="421" spans="32:33" x14ac:dyDescent="0.25">
      <c r="AF421" s="2"/>
      <c r="AG421" s="18"/>
    </row>
    <row r="422" spans="32:33" x14ac:dyDescent="0.25">
      <c r="AF422" s="2"/>
      <c r="AG422" s="18"/>
    </row>
    <row r="423" spans="32:33" x14ac:dyDescent="0.25">
      <c r="AF423" s="2"/>
      <c r="AG423" s="18"/>
    </row>
    <row r="424" spans="32:33" x14ac:dyDescent="0.25">
      <c r="AF424" s="2"/>
      <c r="AG424" s="18"/>
    </row>
    <row r="425" spans="32:33" x14ac:dyDescent="0.25">
      <c r="AF425" s="2"/>
      <c r="AG425" s="18"/>
    </row>
    <row r="426" spans="32:33" x14ac:dyDescent="0.25">
      <c r="AF426" s="2"/>
      <c r="AG426" s="18"/>
    </row>
    <row r="427" spans="32:33" x14ac:dyDescent="0.25">
      <c r="AF427" s="2"/>
      <c r="AG427" s="18"/>
    </row>
    <row r="428" spans="32:33" x14ac:dyDescent="0.25">
      <c r="AF428" s="2"/>
      <c r="AG428" s="18"/>
    </row>
    <row r="429" spans="32:33" x14ac:dyDescent="0.25">
      <c r="AF429" s="2"/>
      <c r="AG429" s="18"/>
    </row>
    <row r="430" spans="32:33" x14ac:dyDescent="0.25">
      <c r="AF430" s="2"/>
      <c r="AG430" s="18"/>
    </row>
    <row r="431" spans="32:33" x14ac:dyDescent="0.25">
      <c r="AF431" s="2"/>
      <c r="AG431" s="18"/>
    </row>
    <row r="432" spans="32:33" x14ac:dyDescent="0.25">
      <c r="AF432" s="2"/>
      <c r="AG432" s="18"/>
    </row>
    <row r="433" spans="32:33" x14ac:dyDescent="0.25">
      <c r="AF433" s="2"/>
      <c r="AG433" s="18"/>
    </row>
    <row r="434" spans="32:33" x14ac:dyDescent="0.25">
      <c r="AF434" s="2"/>
      <c r="AG434" s="18"/>
    </row>
    <row r="435" spans="32:33" x14ac:dyDescent="0.25">
      <c r="AF435" s="2"/>
      <c r="AG435" s="18"/>
    </row>
    <row r="436" spans="32:33" x14ac:dyDescent="0.25">
      <c r="AF436" s="2"/>
      <c r="AG436" s="18"/>
    </row>
    <row r="437" spans="32:33" x14ac:dyDescent="0.25">
      <c r="AF437" s="2"/>
      <c r="AG437" s="18"/>
    </row>
    <row r="438" spans="32:33" x14ac:dyDescent="0.25">
      <c r="AF438" s="2"/>
      <c r="AG438" s="18"/>
    </row>
    <row r="439" spans="32:33" x14ac:dyDescent="0.25">
      <c r="AF439" s="2"/>
      <c r="AG439" s="18"/>
    </row>
    <row r="440" spans="32:33" x14ac:dyDescent="0.25">
      <c r="AF440" s="2"/>
      <c r="AG440" s="18"/>
    </row>
    <row r="441" spans="32:33" x14ac:dyDescent="0.25">
      <c r="AF441" s="2"/>
      <c r="AG441" s="18"/>
    </row>
    <row r="442" spans="32:33" x14ac:dyDescent="0.25">
      <c r="AF442" s="2"/>
      <c r="AG442" s="18"/>
    </row>
    <row r="443" spans="32:33" x14ac:dyDescent="0.25">
      <c r="AF443" s="2"/>
      <c r="AG443" s="18"/>
    </row>
    <row r="444" spans="32:33" x14ac:dyDescent="0.25">
      <c r="AF444" s="2"/>
      <c r="AG444" s="18"/>
    </row>
    <row r="445" spans="32:33" x14ac:dyDescent="0.25">
      <c r="AF445" s="2"/>
      <c r="AG445" s="18"/>
    </row>
    <row r="446" spans="32:33" x14ac:dyDescent="0.25">
      <c r="AF446" s="2"/>
      <c r="AG446" s="18"/>
    </row>
    <row r="447" spans="32:33" x14ac:dyDescent="0.25">
      <c r="AF447" s="2"/>
      <c r="AG447" s="18"/>
    </row>
    <row r="448" spans="32:33" x14ac:dyDescent="0.25">
      <c r="AF448" s="2"/>
      <c r="AG448" s="18"/>
    </row>
    <row r="449" spans="32:33" x14ac:dyDescent="0.25">
      <c r="AF449" s="2"/>
      <c r="AG449" s="18"/>
    </row>
    <row r="450" spans="32:33" x14ac:dyDescent="0.25">
      <c r="AF450" s="2"/>
      <c r="AG450" s="18"/>
    </row>
    <row r="451" spans="32:33" x14ac:dyDescent="0.25">
      <c r="AF451" s="2"/>
      <c r="AG451" s="18"/>
    </row>
    <row r="452" spans="32:33" x14ac:dyDescent="0.25">
      <c r="AF452" s="2"/>
      <c r="AG452" s="18"/>
    </row>
    <row r="453" spans="32:33" x14ac:dyDescent="0.25">
      <c r="AF453" s="2"/>
      <c r="AG453" s="18"/>
    </row>
    <row r="454" spans="32:33" x14ac:dyDescent="0.25">
      <c r="AF454" s="2"/>
      <c r="AG454" s="18"/>
    </row>
    <row r="455" spans="32:33" x14ac:dyDescent="0.25">
      <c r="AF455" s="2"/>
      <c r="AG455" s="18"/>
    </row>
    <row r="456" spans="32:33" x14ac:dyDescent="0.25">
      <c r="AF456" s="2"/>
      <c r="AG456" s="18"/>
    </row>
    <row r="457" spans="32:33" x14ac:dyDescent="0.25">
      <c r="AF457" s="2"/>
      <c r="AG457" s="18"/>
    </row>
    <row r="458" spans="32:33" x14ac:dyDescent="0.25">
      <c r="AF458" s="2"/>
      <c r="AG458" s="18"/>
    </row>
    <row r="459" spans="32:33" x14ac:dyDescent="0.25">
      <c r="AF459" s="2"/>
      <c r="AG459" s="18"/>
    </row>
    <row r="460" spans="32:33" x14ac:dyDescent="0.25">
      <c r="AF460" s="2"/>
      <c r="AG460" s="18"/>
    </row>
    <row r="461" spans="32:33" x14ac:dyDescent="0.25">
      <c r="AF461" s="2"/>
      <c r="AG461" s="18"/>
    </row>
    <row r="462" spans="32:33" x14ac:dyDescent="0.25">
      <c r="AF462" s="2"/>
      <c r="AG462" s="18"/>
    </row>
  </sheetData>
  <mergeCells count="54">
    <mergeCell ref="A2:AF2"/>
    <mergeCell ref="M4:O4"/>
    <mergeCell ref="Q4:AC4"/>
    <mergeCell ref="AA5:AB5"/>
    <mergeCell ref="W5:X5"/>
    <mergeCell ref="J4:L4"/>
    <mergeCell ref="E4:E6"/>
    <mergeCell ref="G4:I5"/>
    <mergeCell ref="AE5:AE6"/>
    <mergeCell ref="AD5:AD6"/>
    <mergeCell ref="A4:A6"/>
    <mergeCell ref="AI4:AI6"/>
    <mergeCell ref="Y5:Z5"/>
    <mergeCell ref="U5:V5"/>
    <mergeCell ref="AH4:AH6"/>
    <mergeCell ref="AF4:AF6"/>
    <mergeCell ref="A127:AF127"/>
    <mergeCell ref="E47:L47"/>
    <mergeCell ref="A97:AF97"/>
    <mergeCell ref="A101:AF101"/>
    <mergeCell ref="A104:AF104"/>
    <mergeCell ref="A112:AF112"/>
    <mergeCell ref="A114:AF114"/>
    <mergeCell ref="A65:AF65"/>
    <mergeCell ref="A71:AF71"/>
    <mergeCell ref="A57:AF57"/>
    <mergeCell ref="A59:AF59"/>
    <mergeCell ref="A61:AF61"/>
    <mergeCell ref="A63:AF63"/>
    <mergeCell ref="E124:L124"/>
    <mergeCell ref="A87:AF87"/>
    <mergeCell ref="A91:AF91"/>
    <mergeCell ref="A118:AF118"/>
    <mergeCell ref="A122:AF122"/>
    <mergeCell ref="B4:B6"/>
    <mergeCell ref="C4:C6"/>
    <mergeCell ref="A125:AF125"/>
    <mergeCell ref="A8:AF8"/>
    <mergeCell ref="A43:AF43"/>
    <mergeCell ref="E31:L31"/>
    <mergeCell ref="E35:L35"/>
    <mergeCell ref="A94:AF94"/>
    <mergeCell ref="A138:AF138"/>
    <mergeCell ref="A141:AF141"/>
    <mergeCell ref="A147:AF147"/>
    <mergeCell ref="A129:AF129"/>
    <mergeCell ref="A131:AF131"/>
    <mergeCell ref="A133:AF133"/>
    <mergeCell ref="A136:AF136"/>
    <mergeCell ref="A36:AF36"/>
    <mergeCell ref="A38:AF38"/>
    <mergeCell ref="A45:AF45"/>
    <mergeCell ref="A49:AF49"/>
    <mergeCell ref="A55:AF55"/>
  </mergeCells>
  <phoneticPr fontId="6" type="noConversion"/>
  <pageMargins left="0.57999999999999996" right="0.28999999999999998" top="0.31496062992125984" bottom="0.23622047244094491" header="0.51181102362204722" footer="0.16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на ТЭ 2015</vt:lpstr>
      <vt:lpstr>'Тарифы на ТЭ 2015'!Область_печати</vt:lpstr>
    </vt:vector>
  </TitlesOfParts>
  <Company>Управление цен и тарифов Пензенской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Евстигнеева</dc:creator>
  <cp:lastModifiedBy>User</cp:lastModifiedBy>
  <cp:lastPrinted>2015-02-04T12:48:48Z</cp:lastPrinted>
  <dcterms:created xsi:type="dcterms:W3CDTF">2010-11-25T10:18:20Z</dcterms:created>
  <dcterms:modified xsi:type="dcterms:W3CDTF">2015-02-04T12:48:58Z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</vt:lpwstr>
  </property>
  <property fmtid="{D5CDD505-2E9C-101B-9397-08002B2CF9AE}" pid="3" name="CurrentVersion">
    <vt:lpwstr>1.0</vt:lpwstr>
  </property>
</Properties>
</file>